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23" activeTab="28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3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 .sz.m. Létszám (2)" sheetId="13" r:id="rId13"/>
    <sheet name="11.sz.m.maradvány" sheetId="14" r:id="rId14"/>
    <sheet name="12.sz.m.mérleg" sheetId="15" r:id="rId15"/>
    <sheet name="13a.mell.Vagyokim. Beled Önk" sheetId="16" r:id="rId16"/>
    <sheet name="13b.mell.Vagyokim. Közös Hiv" sheetId="17" r:id="rId17"/>
    <sheet name="13c.mell.Vagyokim.BÁMK" sheetId="18" r:id="rId18"/>
    <sheet name="13d.mell Önk. érték nélkül Bele" sheetId="19" r:id="rId19"/>
    <sheet name="13e.mell érték nélkül Közös Hiv" sheetId="20" r:id="rId20"/>
    <sheet name="13f.mell érték nélkül BÁMK" sheetId="21" r:id="rId21"/>
    <sheet name="14. sz adósság kötelezettség" sheetId="22" r:id="rId22"/>
    <sheet name="15. saját bevételek" sheetId="23" r:id="rId23"/>
    <sheet name="16. sz.m. hitelállomány" sheetId="24" r:id="rId24"/>
    <sheet name="17.sz.m.akü" sheetId="25" r:id="rId25"/>
    <sheet name="18.sz.m. állami támogatás " sheetId="26" r:id="rId26"/>
    <sheet name="19. sz.m. közvetett tám. (2)" sheetId="27" r:id="rId27"/>
    <sheet name="20.sz.m.többéves kihatás" sheetId="28" r:id="rId28"/>
    <sheet name="21.sz.m.részesedések" sheetId="29" r:id="rId29"/>
    <sheet name="22.sz.m. pe változás" sheetId="30" r:id="rId30"/>
    <sheet name="üres lap" sheetId="31" r:id="rId31"/>
  </sheets>
  <externalReferences>
    <externalReference r:id="rId34"/>
  </externalReferences>
  <definedNames>
    <definedName name="_xlfn.IFERROR" hidden="1">#NAME?</definedName>
    <definedName name="_xlnm.Print_Area" localSheetId="1">'1 .sz.m.önk.össz.kiad.'!$A$1:$AJ$66</definedName>
    <definedName name="_xlnm.Print_Area" localSheetId="0">'1.sz.m-önk.össze.bev'!$A$1:$Z$63</definedName>
    <definedName name="_xlnm.Print_Area" localSheetId="12">'10 .sz.m. Létszám (2)'!$A$1:$AI$16</definedName>
    <definedName name="_xlnm.Print_Area" localSheetId="21">'14. sz adósság kötelezettség'!$A$1:$F$25</definedName>
    <definedName name="_xlnm.Print_Area" localSheetId="2">'2.sz.m.összehasonlító'!$A$1:$P$31</definedName>
    <definedName name="_xlnm.Print_Area" localSheetId="3">'3.sz.m Önk  bev.'!$A$1:$AB$62</definedName>
    <definedName name="_xlnm.Print_Area" localSheetId="4">'4.sz.m.ÖNK kiadás'!$A$1:$AB$39</definedName>
    <definedName name="_xlnm.Print_Area" localSheetId="5">'5.1 sz. m Köz Hiv'!$A$1:$AA$52</definedName>
    <definedName name="_xlnm.Print_Area" localSheetId="6">'5.2 sz. m ÁMK'!$A$1:$V$56</definedName>
    <definedName name="_xlnm.Print_Area" localSheetId="7">'6.a.sz.m.fejlesztés (3)'!$A$1:$AA$32</definedName>
    <definedName name="_xlnm.Print_Area" localSheetId="8">'6.b.sz.m.intfejl (2)'!$A$1:$J$21</definedName>
    <definedName name="_xlnm.Print_Area" localSheetId="9">'7.sz.m.Dologi kiadás (3)'!$A$1:$AA$23</definedName>
    <definedName name="_xlnm.Print_Area" localSheetId="10">'8.sz.m.szociális kiadások (2)'!$A$1:$Z$36</definedName>
    <definedName name="_xlnm.Print_Area" localSheetId="11">'9.sz.m.átadott pe (3)'!$A$1:$AD$113</definedName>
    <definedName name="_xlnm.Print_Area" localSheetId="30">'üres lap'!$A$1:$R$44</definedName>
  </definedNames>
  <calcPr fullCalcOnLoad="1"/>
</workbook>
</file>

<file path=xl/sharedStrings.xml><?xml version="1.0" encoding="utf-8"?>
<sst xmlns="http://schemas.openxmlformats.org/spreadsheetml/2006/main" count="2761" uniqueCount="1156">
  <si>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</si>
  <si>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</si>
  <si>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</si>
  <si>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</si>
  <si>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</si>
  <si>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</si>
  <si>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</si>
  <si>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</si>
  <si>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</si>
  <si>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</si>
  <si>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</si>
  <si>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</si>
  <si>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</si>
  <si>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</si>
  <si>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</si>
  <si>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</si>
  <si>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</si>
  <si>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</si>
  <si>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</si>
  <si>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</si>
  <si>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</si>
  <si>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</si>
  <si>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</si>
  <si>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</si>
  <si>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</si>
  <si>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</si>
  <si>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</si>
  <si>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</si>
  <si>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</si>
  <si>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</si>
  <si>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</si>
  <si>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</si>
  <si>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</si>
  <si>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</si>
  <si>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</si>
  <si>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</si>
  <si>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</si>
  <si>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</si>
  <si>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</si>
  <si>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</si>
  <si>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</si>
  <si>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</si>
  <si>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</si>
  <si>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</si>
  <si>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</si>
  <si>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</si>
  <si>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</si>
  <si>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</si>
  <si>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</si>
  <si>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</si>
  <si>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</si>
  <si>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</si>
  <si>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</si>
  <si>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</si>
  <si>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</si>
  <si>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</si>
  <si>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</si>
  <si>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</si>
  <si>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</si>
  <si>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</si>
  <si>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</si>
  <si>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</si>
  <si>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</si>
  <si>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</si>
  <si>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</si>
  <si>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</si>
  <si>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</si>
  <si>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</si>
  <si>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</si>
  <si>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</si>
  <si>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</si>
  <si>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</si>
  <si>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</si>
  <si>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</si>
  <si>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</si>
  <si>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</si>
  <si>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</si>
  <si>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</si>
  <si>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</si>
  <si>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</si>
  <si>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</si>
  <si>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</si>
  <si>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</si>
  <si>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</si>
  <si>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</si>
  <si>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</si>
  <si>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</si>
  <si>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</si>
  <si>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</si>
  <si>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</si>
  <si>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</si>
  <si>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</si>
  <si>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</si>
  <si>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</si>
  <si>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</si>
  <si>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</si>
  <si>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</si>
  <si>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</si>
  <si>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</si>
  <si>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</si>
  <si>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</si>
  <si>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</si>
  <si>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</si>
  <si>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</si>
  <si>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</si>
  <si>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</si>
  <si>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</si>
  <si>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</si>
  <si>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</si>
  <si>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</si>
  <si>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</si>
  <si>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</si>
  <si>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</si>
  <si>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</si>
  <si>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</si>
  <si>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</si>
  <si>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</si>
  <si>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</si>
  <si>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</si>
  <si>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</si>
  <si>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</si>
  <si>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</si>
  <si>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</si>
  <si>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</si>
  <si>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</si>
  <si>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</si>
  <si>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</si>
  <si>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</si>
  <si>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</si>
  <si>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</si>
  <si>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</si>
  <si>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</si>
  <si>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</si>
  <si>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</si>
  <si>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</si>
  <si>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</si>
  <si>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</si>
  <si>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</si>
  <si>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</si>
  <si>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</si>
  <si>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</si>
  <si>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</si>
  <si>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</si>
  <si>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</si>
  <si>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</si>
  <si>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</si>
  <si>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</si>
  <si>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</si>
  <si>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</si>
  <si>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</si>
  <si>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</si>
  <si>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</si>
  <si>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</si>
  <si>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</si>
  <si>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</si>
  <si>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</si>
  <si>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</si>
  <si>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</si>
  <si>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</si>
  <si>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</si>
  <si>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</si>
  <si>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</si>
  <si>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</si>
  <si>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</si>
  <si>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</si>
  <si>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</si>
  <si>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</si>
  <si>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</si>
  <si>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</si>
  <si>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</si>
  <si>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</si>
  <si>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</si>
  <si>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</si>
  <si>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</si>
  <si>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</si>
  <si>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</si>
  <si>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</si>
  <si>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</si>
  <si>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</si>
  <si>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</si>
  <si>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</si>
  <si>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</si>
  <si>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</si>
  <si>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</si>
  <si>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</si>
  <si>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</si>
  <si>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</si>
  <si>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</si>
  <si>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</si>
  <si>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</si>
  <si>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</si>
  <si>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</si>
  <si>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</si>
  <si>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</si>
  <si>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</si>
  <si>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</si>
  <si>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</si>
  <si>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</si>
  <si>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</si>
  <si>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</si>
  <si>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</si>
  <si>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</si>
  <si>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</si>
  <si>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</si>
  <si>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</si>
  <si>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</si>
  <si>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</si>
  <si>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</si>
  <si>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</si>
  <si>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</si>
  <si>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</si>
  <si>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</si>
  <si>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</si>
  <si>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</si>
  <si>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</si>
  <si>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</si>
  <si>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</si>
  <si>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</si>
  <si>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</si>
  <si>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</si>
  <si>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</si>
  <si>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</si>
  <si>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</si>
  <si>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</si>
  <si>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</si>
  <si>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</si>
  <si>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</si>
  <si>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</si>
  <si>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</si>
  <si>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</si>
  <si>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</si>
  <si>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</si>
  <si>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</si>
  <si>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</si>
  <si>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</si>
  <si>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</si>
  <si>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</si>
  <si>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</si>
  <si>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</si>
  <si>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</si>
  <si>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</si>
  <si>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</si>
  <si>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</si>
  <si>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</si>
  <si>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</si>
  <si>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</si>
  <si>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</si>
  <si>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</si>
  <si>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</si>
  <si>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</si>
  <si>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</si>
  <si>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</si>
  <si>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</si>
  <si>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</si>
  <si>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</si>
  <si>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</si>
  <si>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</si>
  <si>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</si>
  <si>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</si>
  <si>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</si>
  <si>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</si>
  <si>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</si>
  <si>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</si>
  <si>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</si>
  <si>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Mód. V.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</si>
  <si>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</si>
  <si>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</si>
  <si>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</si>
  <si>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</si>
  <si>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</si>
  <si>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</si>
  <si>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</si>
  <si>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</si>
  <si>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</si>
  <si>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</si>
  <si>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</si>
  <si>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</si>
  <si>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</si>
  <si>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</si>
  <si>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</si>
  <si>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</si>
  <si>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</si>
  <si>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</si>
  <si>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</si>
  <si>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</si>
  <si>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</si>
  <si>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</si>
  <si>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</si>
  <si>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</si>
  <si>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</si>
  <si>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</si>
  <si>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</si>
  <si>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</si>
  <si>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</si>
  <si>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</si>
  <si>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</si>
  <si>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</si>
  <si>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</si>
  <si>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</si>
  <si>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</si>
  <si>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</si>
  <si>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</si>
  <si>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</si>
  <si>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</si>
  <si>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</si>
  <si>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</si>
  <si>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</si>
  <si>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</si>
  <si>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</si>
  <si>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</si>
  <si>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</si>
  <si>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</si>
  <si>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</si>
  <si>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</si>
  <si>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</si>
  <si>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</si>
  <si>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</si>
  <si>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</si>
  <si>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</si>
  <si>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</si>
  <si>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</si>
  <si>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</si>
  <si>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</si>
  <si>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</si>
  <si>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</si>
  <si>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</si>
  <si>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</si>
  <si>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</si>
  <si>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</si>
  <si>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</si>
  <si>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</si>
  <si>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</si>
  <si>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</si>
  <si>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</si>
  <si>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</si>
  <si>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</si>
  <si>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</si>
  <si>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</si>
  <si>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</si>
  <si>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</si>
  <si>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</si>
  <si>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</si>
  <si>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</si>
  <si>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</si>
  <si>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</si>
  <si>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</si>
  <si>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</si>
  <si>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</si>
  <si>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</si>
  <si>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</si>
  <si>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</si>
  <si>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</si>
  <si>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</si>
  <si>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</si>
  <si>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</si>
  <si>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Kaouvári Többcélú Kistérség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</si>
  <si>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</si>
  <si>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</si>
  <si>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</si>
  <si>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</si>
  <si>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</si>
  <si>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</si>
  <si>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</si>
  <si>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</si>
  <si>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</si>
  <si>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</si>
  <si>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</si>
  <si>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</si>
  <si>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</si>
  <si>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</si>
  <si>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</si>
  <si>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</si>
  <si>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</si>
  <si>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</si>
  <si>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</si>
  <si>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</si>
  <si>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</si>
  <si>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</si>
  <si>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</si>
  <si>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</si>
  <si>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</si>
  <si>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</si>
  <si>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</si>
  <si>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</si>
  <si>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</si>
  <si>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Tégy a Tehetségért Alapítvány</t>
  </si>
  <si>
    <t>Horgász Egyesület</t>
  </si>
  <si>
    <t>Beledi Ifjúsági Egyesület</t>
  </si>
  <si>
    <t>Beledi Evangélikus Egyház</t>
  </si>
  <si>
    <t>Beledi Asztalitenisz Klub</t>
  </si>
  <si>
    <t>Beled Jövőjéért Egyesület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</si>
  <si>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</si>
  <si>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</si>
  <si>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</si>
  <si>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</si>
  <si>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</si>
  <si>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</si>
  <si>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</si>
  <si>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</si>
  <si>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</si>
  <si>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</si>
  <si>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</si>
  <si>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</si>
  <si>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</si>
  <si>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</si>
  <si>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</si>
  <si>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</si>
  <si>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</si>
  <si>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</si>
  <si>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</si>
  <si>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</si>
  <si>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</si>
  <si>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</si>
  <si>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</si>
  <si>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</si>
  <si>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</si>
  <si>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</si>
  <si>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</si>
  <si>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</si>
  <si>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</si>
  <si>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</si>
  <si>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</si>
  <si>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</si>
  <si>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</si>
  <si>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</si>
  <si>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</si>
  <si>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</si>
  <si>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</si>
  <si>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</si>
  <si>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</si>
  <si>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1. számú melléklet</t>
  </si>
  <si>
    <t>11. számú melléklet</t>
  </si>
  <si>
    <t>teljesítés</t>
  </si>
  <si>
    <t>MEGNEVEZÉS</t>
  </si>
  <si>
    <t>Évek</t>
  </si>
  <si>
    <t>2016.</t>
  </si>
  <si>
    <t>10.</t>
  </si>
  <si>
    <t>ÖSSZES KÖTELEZETTSÉG</t>
  </si>
  <si>
    <t>14. számú melléklet</t>
  </si>
  <si>
    <t>11.</t>
  </si>
  <si>
    <t>12.</t>
  </si>
  <si>
    <t>13.</t>
  </si>
  <si>
    <t>14.</t>
  </si>
  <si>
    <t>15.</t>
  </si>
  <si>
    <t>16.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</si>
  <si>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</si>
  <si>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</si>
  <si>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</si>
  <si>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</si>
  <si>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</si>
  <si>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</si>
  <si>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</si>
  <si>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</si>
  <si>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</si>
  <si>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</si>
  <si>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</si>
  <si>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</si>
  <si>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</si>
  <si>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</si>
  <si>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</si>
  <si>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15. számú melléklet</t>
  </si>
  <si>
    <t>2014. december 31.</t>
  </si>
  <si>
    <t>évközbeni változás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</si>
  <si>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</si>
  <si>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</si>
  <si>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</si>
  <si>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</si>
  <si>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</si>
  <si>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</si>
  <si>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</si>
  <si>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</si>
  <si>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</si>
  <si>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</si>
  <si>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>ÁH belüli megelőlegezések visszafizetései</t>
  </si>
  <si>
    <t>6.3</t>
  </si>
  <si>
    <t>I.6. előző évről áthúzódó bérkompenzáció</t>
  </si>
  <si>
    <t>III.6 Szociális ágazati pótlék</t>
  </si>
  <si>
    <t>Könyvtári célú érdekeltségnövelő támogatás</t>
  </si>
  <si>
    <t>BURSA</t>
  </si>
  <si>
    <t>Egyéb tárgyi eszközök értékesítése</t>
  </si>
  <si>
    <t>Beled Ált.Isk.Diákönk.</t>
  </si>
  <si>
    <t>Beregrákosi Református Egyházközség</t>
  </si>
  <si>
    <t>Egyházmegyei Levéltár Győr</t>
  </si>
  <si>
    <t>egyéb</t>
  </si>
  <si>
    <t>Lövészklub (MTTSZ)</t>
  </si>
  <si>
    <t>telj. %</t>
  </si>
  <si>
    <t>2015. június 30.</t>
  </si>
  <si>
    <t>2015. június 30. teljesítés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</si>
  <si>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</si>
  <si>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</si>
  <si>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</si>
  <si>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</si>
  <si>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</si>
  <si>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</si>
  <si>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Államháztartáson belüli megelőlegezés</t>
  </si>
  <si>
    <t>2015. december 31.</t>
  </si>
  <si>
    <t>mód. V.</t>
  </si>
  <si>
    <t>Nagycenk Nagyközség Önkormányzata</t>
  </si>
  <si>
    <t>Fidesz-Magyar Polgári Szövetség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</si>
  <si>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</si>
  <si>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</si>
  <si>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</si>
  <si>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</si>
  <si>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Önkormányzat 2016. évi kiadási előirányzatai</t>
  </si>
  <si>
    <t>Önkormányzat 2016. évi bevételi előirányzatai</t>
  </si>
  <si>
    <t>Ft-ban</t>
  </si>
  <si>
    <t>Önkormányzat összevont 2016. évi bevételi előirányzatai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</si>
  <si>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</si>
  <si>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</si>
  <si>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</si>
  <si>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</si>
  <si>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</si>
  <si>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</si>
  <si>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Önkormányzat költségvetési szerveinek 2016. évi létszámkerete</t>
  </si>
  <si>
    <t>2016. január 1.</t>
  </si>
  <si>
    <t>Telefon beszerzése polgármesternek</t>
  </si>
  <si>
    <t>Ravatalozó előtető felújítása</t>
  </si>
  <si>
    <t>Ifjúság utca felújítása</t>
  </si>
  <si>
    <t>Járda felújítása</t>
  </si>
  <si>
    <t>75 db szék ebédlőbe</t>
  </si>
  <si>
    <t>Hűtőszekrény, kávéfőző óvodába</t>
  </si>
  <si>
    <t xml:space="preserve">2016. év </t>
  </si>
  <si>
    <t>2016. év</t>
  </si>
  <si>
    <t>Szociális tűzifa (2015. évről áthúzódó)</t>
  </si>
  <si>
    <t>Szünidei gyermekétkeztetés</t>
  </si>
  <si>
    <t>2016. évi előirányzat</t>
  </si>
  <si>
    <t>3 a.) Család- és gyermekjóléti szolgálat</t>
  </si>
  <si>
    <t>3 c.) Szociális étkeztetés</t>
  </si>
  <si>
    <t>3 f.) Időskorúak nappali intézményi ellátása</t>
  </si>
  <si>
    <t>3 jb.) Gyermekek napközbeni ellátása - családi napközi</t>
  </si>
  <si>
    <t xml:space="preserve">III. 5. c. A rászoruló gyermekek intézményen kívüli szünidei étkeztetésének támogatása </t>
  </si>
  <si>
    <t>IX. 2. a. Pszichiátriai betegek részére nyújtott közösségi alapellátás - alaptámogatás</t>
  </si>
  <si>
    <t>IX. 2. Pszichiátriai betegek részére nyújtott közösségi alapellátás</t>
  </si>
  <si>
    <t>A 2016. évi általános működés és ágazati feladatok támogatásának alakulása jogcímenként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</si>
  <si>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</si>
  <si>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</si>
  <si>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</si>
  <si>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</si>
  <si>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</si>
  <si>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2016. március 23.</t>
  </si>
  <si>
    <t>380/2015. (XII. 8.) Kormányrendelet szerinti kiegészítő ágazati pótlék</t>
  </si>
  <si>
    <t>Forgatási  célú belföldi értékpapírok vásárlása</t>
  </si>
  <si>
    <t>Forgatási célú értékpapírok vásárlása</t>
  </si>
  <si>
    <t>2016. június 30.</t>
  </si>
  <si>
    <t>Felhalmozási célú egyéb átvett pénzeszközök államháztartáson kívűlről</t>
  </si>
  <si>
    <t>Betonáru földmérés</t>
  </si>
  <si>
    <t>Holokauszt emlékmű felajánlásból</t>
  </si>
  <si>
    <t>Udvari játék telepítése játszótérre</t>
  </si>
  <si>
    <t>Gázkazán beszerzése Rákóczi u. 158. szám alatti lakásba</t>
  </si>
  <si>
    <t>Rugós játék beszerzése játszótérre képviselői felajánlásból</t>
  </si>
  <si>
    <t>Ivókút vásárlása játszótérre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</si>
  <si>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</si>
  <si>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</si>
  <si>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</si>
  <si>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</si>
  <si>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</si>
  <si>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</si>
  <si>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</si>
  <si>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</si>
  <si>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</si>
  <si>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</si>
  <si>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</si>
  <si>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</si>
  <si>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</si>
  <si>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</si>
  <si>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</si>
  <si>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</si>
  <si>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2016. szeptember 30.</t>
  </si>
  <si>
    <t>Közvilágítás korszerűsítése</t>
  </si>
  <si>
    <t>Emléktábla készítése</t>
  </si>
  <si>
    <t>5 db kültéri kamera beszerzése</t>
  </si>
  <si>
    <t>2 db monitor vásárlása könyvtárba</t>
  </si>
  <si>
    <t xml:space="preserve">Finanszírozási műveletek </t>
  </si>
  <si>
    <t>adatok Ft-ban</t>
  </si>
  <si>
    <t>Országos Mentőszolgálat Alapítvány</t>
  </si>
  <si>
    <t>Delta Testépítő Klub (országos verseny)</t>
  </si>
  <si>
    <t>Működési célú költségvetési támogatások és kiegészítő támogatások</t>
  </si>
  <si>
    <t xml:space="preserve">Véglegesen és átmeneti jelleggel átadott pénzeszközök </t>
  </si>
  <si>
    <t>Véglegesen átadott pénzeszközök</t>
  </si>
  <si>
    <t>Átmeneti jelleggel átadott pénzeszközök</t>
  </si>
  <si>
    <t>Dénesfa Község Önkormányzata</t>
  </si>
  <si>
    <t>4. számú melléklet 2.3.3 sorának részletezése</t>
  </si>
  <si>
    <t>Hallásvizsgáló készülék beszerzése védőnői szolgálathoz</t>
  </si>
  <si>
    <t>járda (hivatal melletti köz) felújítása</t>
  </si>
  <si>
    <t>kisértékű informatikai eszköz beszerzése könyvtárba érdekeltségnövelő támogatásból (szünetmentes tápegység, monitor)</t>
  </si>
  <si>
    <t>Közvetített szolgáltatok ellenértéke</t>
  </si>
  <si>
    <t>kisértékű tárgyi eszközök beszerzése</t>
  </si>
  <si>
    <t>Vadászati jog bérbeadéséból származó jövedelem</t>
  </si>
  <si>
    <t>Sörpadok vásárlása vicai faluházba</t>
  </si>
  <si>
    <t>Szociális tűzifa (2016)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</si>
  <si>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</si>
  <si>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</si>
  <si>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</si>
  <si>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</si>
  <si>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Beledi Általános Iskola Diákjaiért Közalapítvány</t>
  </si>
  <si>
    <t>Civil szervezetek támogatása (képviselői felajánlásból)</t>
  </si>
  <si>
    <t>Egyházak támogatása (képviselői felajánlásból)</t>
  </si>
  <si>
    <t xml:space="preserve"> mód. V.</t>
  </si>
  <si>
    <t>Szociális tüzelőanyag támogatás (Kvtv. 1. melléklet IX. 18.)</t>
  </si>
  <si>
    <t>Rendkívüli önkormányzati támogatás (Kvtv. 3. melléklet III. a) pont)</t>
  </si>
  <si>
    <t>2016. december 31.</t>
  </si>
  <si>
    <t>Eredeti, Mód. V.</t>
  </si>
  <si>
    <t>2016. december 31. teljesítés</t>
  </si>
  <si>
    <t>Önkormányzati vagyonnal való gazd. Kapcsolatos feladatok</t>
  </si>
  <si>
    <t>Intézményen kívüli gyermekétkeztetés</t>
  </si>
  <si>
    <t>eredeti, mód. IV.</t>
  </si>
  <si>
    <t>Fejlesztési célú hitelfelvétel Ifjúság utca felújításáraa</t>
  </si>
  <si>
    <t>Beled Város Önkormányata</t>
  </si>
  <si>
    <t>adósságot keletkeztető ügyleteiből eredő fizetési kötelezettség bemutatása</t>
  </si>
  <si>
    <t>Tárgyi eszközök, ingatlanok értékesítése</t>
  </si>
  <si>
    <t>Saját bevételek 50 %-a</t>
  </si>
  <si>
    <t>Adósságot keletkeztető ügyletek értéke</t>
  </si>
  <si>
    <t>2016. év előtti  ügyletből származó érték</t>
  </si>
  <si>
    <t>Hitel felvételből származó tőketartozás</t>
  </si>
  <si>
    <t>2016. évi ügyletből származó érték</t>
  </si>
  <si>
    <t>Hitelfelvétel</t>
  </si>
  <si>
    <t>Adósságot keletkeztető ügyletek összértéke</t>
  </si>
  <si>
    <t>Előző év(ek)ben keletkezett tárgyévet fizetési kötelzettség</t>
  </si>
  <si>
    <t>Tőkefizetési kötelezettség (2016. évi fejlesztési hitelfelvétel)</t>
  </si>
  <si>
    <t>Kamatfizetési kötelezettség (2016. évi fejlesztési hitelfelvétel)</t>
  </si>
  <si>
    <t>Egyéb fizetési kötelezettség (kezelési költség stb.)</t>
  </si>
  <si>
    <t>Előző év(ek)ben keletkezett tárgyévet fizetési kötelzettség összesen</t>
  </si>
  <si>
    <t>Tárgyévi fizetési kötelzettség</t>
  </si>
  <si>
    <t>Tőkefizetési kötelezettség</t>
  </si>
  <si>
    <t xml:space="preserve">Kamatfizetési kötelezettség </t>
  </si>
  <si>
    <t>Tárgyévi fizetési kötelzettség összesen</t>
  </si>
  <si>
    <t>Fizetési kötelezettséggel csökkentett saját bevétel</t>
  </si>
  <si>
    <t>kapott támogatás</t>
  </si>
  <si>
    <t>elszámolás szerint megillető támogatás</t>
  </si>
  <si>
    <t>felhasznált támogatás</t>
  </si>
  <si>
    <t>támogatás kiutalás (+) /visszafizetés (-)</t>
  </si>
  <si>
    <t>18. számú melléklet</t>
  </si>
  <si>
    <t>PÉNZESZKÖZÖK VÁLTOZÁSÁNAK LEVEZETÉSE</t>
  </si>
  <si>
    <t>Összeg  (Ft )</t>
  </si>
  <si>
    <t>Pénzkészlet 2016. január 1-jén
ebből:</t>
  </si>
  <si>
    <r>
      <t xml:space="preserve"> </t>
    </r>
    <r>
      <rPr>
        <sz val="10"/>
        <rFont val="Times New Roman CE"/>
        <family val="1"/>
      </rPr>
      <t>Forintszámla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</si>
  <si>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</si>
  <si>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r>
      <t xml:space="preserve"> </t>
    </r>
    <r>
      <rPr>
        <sz val="10"/>
        <rFont val="Times New Roman CE"/>
        <family val="1"/>
      </rPr>
      <t>Devizaszámla egyenlege</t>
    </r>
  </si>
  <si>
    <r>
      <t xml:space="preserve"> </t>
    </r>
    <r>
      <rPr>
        <sz val="10"/>
        <rFont val="Times New Roman CE"/>
        <family val="1"/>
      </rPr>
      <t>Lekötött bankbetétek</t>
    </r>
  </si>
  <si>
    <t>Záró pénzkészlet 2016. december 31-én
ebből: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</si>
  <si>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</si>
  <si>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</si>
  <si>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</si>
  <si>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</si>
  <si>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2016 előtti kifizetés</t>
  </si>
  <si>
    <t>Kiadás vonzata évenként</t>
  </si>
  <si>
    <t>2017.</t>
  </si>
  <si>
    <t>2018.</t>
  </si>
  <si>
    <t>2018. után</t>
  </si>
  <si>
    <t>A</t>
  </si>
  <si>
    <t>C</t>
  </si>
  <si>
    <t>D</t>
  </si>
  <si>
    <t>E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</si>
  <si>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</si>
  <si>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</si>
  <si>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</si>
  <si>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</si>
  <si>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</si>
  <si>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</si>
  <si>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</si>
  <si>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</si>
  <si>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Felújítási kiadások felújításonként</t>
  </si>
  <si>
    <t>Egyéb (Pl.: garancia és kezességvállalás, stb.)</t>
  </si>
  <si>
    <t>Összesen (1+4+7+9+11)</t>
  </si>
  <si>
    <t>Részesedések 2016.12.31.-i állománya</t>
  </si>
  <si>
    <t>Gazdasági Társaság</t>
  </si>
  <si>
    <t>Részesedések állománya</t>
  </si>
  <si>
    <t>Pannon-Víz Zrt.</t>
  </si>
  <si>
    <t>Beled COOP Kereskedelmi és Szolgáltató Rt</t>
  </si>
  <si>
    <t>VAGYONKIMUTATÁS                                                                                                                                                                                            a könyvviteli mérlegben  értékkel szereplő eszközökről                                                                                                                              2016. év</t>
  </si>
  <si>
    <t>Beled Város Önkormányzata</t>
  </si>
  <si>
    <t>Adatok:  forintban!</t>
  </si>
  <si>
    <t>ESZKÖZÖK</t>
  </si>
  <si>
    <t>Bruttó</t>
  </si>
  <si>
    <t>Nettó</t>
  </si>
  <si>
    <t xml:space="preserve"> érték</t>
  </si>
  <si>
    <t xml:space="preserve">A </t>
  </si>
  <si>
    <t xml:space="preserve"> I. Immateriális javak (02+03+04+05)</t>
  </si>
  <si>
    <t>01.</t>
  </si>
  <si>
    <t>1.1. Forgalomképtelen immateriális javak</t>
  </si>
  <si>
    <t>02.</t>
  </si>
  <si>
    <t>1.2. Nemzetgazdasági szempontból kiemelt jelentőségű  immateriális javak
       vagyoni értékű jogok</t>
  </si>
  <si>
    <t>03.</t>
  </si>
  <si>
    <t>1.3. Korlátozottan forgalomképes immateriális javak</t>
  </si>
  <si>
    <t>04.</t>
  </si>
  <si>
    <t>1.4. Üzleti ingatlanok és kapcsolódó  immateriális javak</t>
  </si>
  <si>
    <t>05.</t>
  </si>
  <si>
    <t>II. Tárgyi eszközök (07+12+17+22+27)</t>
  </si>
  <si>
    <t>06.</t>
  </si>
  <si>
    <t>1. Ingatlanok és kapcsolódó vagyoni értékű jogok   (08+09+10+11)</t>
  </si>
  <si>
    <t>07.</t>
  </si>
  <si>
    <t>1.1. Forgalomképtelen ingatlanok és kapcsolódó vagyoni értékű jogok</t>
  </si>
  <si>
    <t>08.</t>
  </si>
  <si>
    <t>1.2. Nemzetgazdasági szempontból kiemelt jelentőségű ingatlanok és kapcsolódó 
       vagyoni értékű jogok</t>
  </si>
  <si>
    <t>09.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</si>
  <si>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</si>
  <si>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</si>
  <si>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(13+14+15+16)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</si>
  <si>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</si>
  <si>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</si>
  <si>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</si>
  <si>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</si>
  <si>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16.</t>
  </si>
  <si>
    <t>3. Tenyészállatok (18+19+20+21)</t>
  </si>
  <si>
    <t>17.</t>
  </si>
  <si>
    <t>3.1. Forgalomképtelen tenyészállatok</t>
  </si>
  <si>
    <t>18.</t>
  </si>
  <si>
    <t>3.2. Nemzetgazdasági szempontból kiemelt jelentőségű tenyészállatok</t>
  </si>
  <si>
    <t>19.</t>
  </si>
  <si>
    <t>3.3. Korlátozottan forgalomképes tenyészállatok</t>
  </si>
  <si>
    <t>20.</t>
  </si>
  <si>
    <t>3.4. Üzleti tenyészállatok</t>
  </si>
  <si>
    <t>21.</t>
  </si>
  <si>
    <t>4. Beruházások, felújítások (23+24+25+26)</t>
  </si>
  <si>
    <t>22.</t>
  </si>
  <si>
    <t>4.1. Forgalomképtelen beruházások, felújítások</t>
  </si>
  <si>
    <t>23.</t>
  </si>
  <si>
    <t>4.2. Nemzetgazdasági szempontból kiemelt jelentőségű beruházások, felújítások</t>
  </si>
  <si>
    <t>24.</t>
  </si>
  <si>
    <t>4.3. Korlátozottan forgalomképes beruházások, felújítások</t>
  </si>
  <si>
    <t>25.</t>
  </si>
  <si>
    <t>4.4. Üzleti beruházások, felújítások</t>
  </si>
  <si>
    <t>26.</t>
  </si>
  <si>
    <t>5. Tárgyi eszközök értékhelyesbítése (28+29+30+31)</t>
  </si>
  <si>
    <t>27.</t>
  </si>
  <si>
    <t>5.1. Forgalomképtelen tárgyi eszközök értékhelyesbítése</t>
  </si>
  <si>
    <t>28.</t>
  </si>
  <si>
    <t>5.2. Nemzetgazdasági szempontból kiemelt jelentőségű tárgyi eszközök 
       értékhelyesbítése</t>
  </si>
  <si>
    <t>29.</t>
  </si>
  <si>
    <t>5.3. Korlátozottan forgalomképes tárgyi eszközök értékhelyesbítése</t>
  </si>
  <si>
    <t>30.</t>
  </si>
  <si>
    <t>5.4. Üzleti tárgyi eszközök értékhelyesbítése</t>
  </si>
  <si>
    <t>31.</t>
  </si>
  <si>
    <t>III. Befektetett pénzügyi eszközök (33+38+43)</t>
  </si>
  <si>
    <t>32.</t>
  </si>
  <si>
    <t>1. Tartós részesedések (34+35+36+37)</t>
  </si>
  <si>
    <t>33.</t>
  </si>
  <si>
    <t>1.1. Forgalomképtelen tartós részesedések</t>
  </si>
  <si>
    <t>34.</t>
  </si>
  <si>
    <t>1.2. Nemzetgazdasági szempontból kiemelt jelentőségű tartós részesedések</t>
  </si>
  <si>
    <t>35.</t>
  </si>
  <si>
    <t>1.3. Korlátozottan forgalomképes tartós részesedések</t>
  </si>
  <si>
    <t>36.</t>
  </si>
  <si>
    <t>1.4. Üzleti tartós részesedések</t>
  </si>
  <si>
    <t>37.</t>
  </si>
  <si>
    <t>2. Tartós hitelviszonyt megtestesítő értékpapírok (39+40+41+42)</t>
  </si>
  <si>
    <t>38.</t>
  </si>
  <si>
    <t>2.1. Forgalomképtelen tartós hitelviszonyt megtestesítő értékpapírok</t>
  </si>
  <si>
    <t>39.</t>
  </si>
  <si>
    <t>2.2. Nemzetgazdasági szempontból kiemelt jelentőségű tartós hitelviszonyt 
       megtestesítő értékpapírok</t>
  </si>
  <si>
    <t>40.</t>
  </si>
  <si>
    <t>2.3. Korlátozottan forgalomképes tartós hitelviszonyt megtestesítő értékpapírok</t>
  </si>
  <si>
    <t>41.</t>
  </si>
  <si>
    <t>2.4. Üzleti tartós hitelviszonyt megtestesítő értékpapírok</t>
  </si>
  <si>
    <t>42.</t>
  </si>
  <si>
    <t>3. Befektetett pénzügyi eszközök értékhelyesbítése (44+45+46+47)</t>
  </si>
  <si>
    <t>43.</t>
  </si>
  <si>
    <t>3.1. Forgalomképtelen befektetett pénzügyi eszközök értékhelyesbítése</t>
  </si>
  <si>
    <t>44.</t>
  </si>
  <si>
    <t>3.2. Nemzetgazdasági szempontból kiemelt jelentőségű befektetett pénzügyi 
       eszközök értékhelyesbítése</t>
  </si>
  <si>
    <t>45.</t>
  </si>
  <si>
    <t>3.3. Korlátozottan forgalomképes befektetett pénzügyi eszközök értékhelyesbítése</t>
  </si>
  <si>
    <t>46.</t>
  </si>
  <si>
    <t>3.4. Üzleti befektetett pénzügyi eszközök értékhelyesbítése</t>
  </si>
  <si>
    <t>47.</t>
  </si>
  <si>
    <t>IV. Koncesszióba, vagyonkezelésbe adott eszközök</t>
  </si>
  <si>
    <t>48.</t>
  </si>
  <si>
    <t>A) NEMZETI VAGYONBA TARTOZÓ BEFEKTETETT ESZKÖZÖK 
     (01+06+32+48)</t>
  </si>
  <si>
    <t>49.</t>
  </si>
  <si>
    <t>I. Készletek</t>
  </si>
  <si>
    <t>50.</t>
  </si>
  <si>
    <t>II. Értékpapírok</t>
  </si>
  <si>
    <t>51.</t>
  </si>
  <si>
    <t>B) NEMZETI VAGYONBA TARTOZÓ FORGÓESZKÖZÖK (50+51)</t>
  </si>
  <si>
    <t>52.</t>
  </si>
  <si>
    <t>I. Lekötött bankbetétek</t>
  </si>
  <si>
    <t>53.</t>
  </si>
  <si>
    <t>II. Pénztárak, csekkek, betétkönyvek</t>
  </si>
  <si>
    <t>54.</t>
  </si>
  <si>
    <t>III. Forintszámlák</t>
  </si>
  <si>
    <t>55.</t>
  </si>
  <si>
    <t>IV. Devizaszámlák</t>
  </si>
  <si>
    <t>56.</t>
  </si>
  <si>
    <t>V. Idegen pénzeszköz</t>
  </si>
  <si>
    <t>57.</t>
  </si>
  <si>
    <t>C) PÉNZESZKÖZÖK (53+54+55+56+57)</t>
  </si>
  <si>
    <t>58.</t>
  </si>
  <si>
    <t>I. Költségvetési évben esedékes követelések</t>
  </si>
  <si>
    <t>59.</t>
  </si>
  <si>
    <t>II. Költségvetési évet követően esedékes követelések</t>
  </si>
  <si>
    <t>60.</t>
  </si>
  <si>
    <t>III. Követelés jellegű sajátos elszámolások</t>
  </si>
  <si>
    <t>61.</t>
  </si>
  <si>
    <t>D) KÖVETELÉSEK (59+60+61)</t>
  </si>
  <si>
    <t>62.</t>
  </si>
  <si>
    <t>I. December havi illetmények, munkabérek elszámolása</t>
  </si>
  <si>
    <t>63.</t>
  </si>
  <si>
    <t>II. Utalványok, bérletek és más hasonló, készpénz-helyettesítő fizetési 
     eszköznek nem minősülő eszközök elszámolásai</t>
  </si>
  <si>
    <t>64.</t>
  </si>
  <si>
    <t>E) EGYÉB SAJÁTOS ESZKÖZOLDALI ELSZÁMOLÁSOK (63+64)</t>
  </si>
  <si>
    <t>65.</t>
  </si>
  <si>
    <t>F) AKTÍV IDŐBELI ELHATÁROLÁSOK</t>
  </si>
  <si>
    <t>66.</t>
  </si>
  <si>
    <t>ESZKÖZÖK ÖSSZESEN  (49+52+58+62+65+66)</t>
  </si>
  <si>
    <t>67.</t>
  </si>
  <si>
    <t>Beledi Közös Önkormányzati Hivatal</t>
  </si>
  <si>
    <t>VAGYONKIMUTATÁS                                                                                                                                                             az érték nélkül nyilvántartott eszközökről                                                                                                                                           2016. év</t>
  </si>
  <si>
    <t>Adatok: forintban!</t>
  </si>
  <si>
    <t>Mennyiség
(db)</t>
  </si>
  <si>
    <t>Bruttó értéke</t>
  </si>
  <si>
    <t>Könyv szerinti értéke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</si>
  <si>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</si>
  <si>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</si>
  <si>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</si>
  <si>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</si>
  <si>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</si>
  <si>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</si>
  <si>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</si>
  <si>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</si>
  <si>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</si>
  <si>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</si>
  <si>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</si>
  <si>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</si>
  <si>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</si>
  <si>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</si>
  <si>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</si>
  <si>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</si>
  <si>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</si>
  <si>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</si>
  <si>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</si>
  <si>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</si>
  <si>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</si>
  <si>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</si>
  <si>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</si>
  <si>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</si>
  <si>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</si>
  <si>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</si>
  <si>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</si>
  <si>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</si>
  <si>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</si>
  <si>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</si>
  <si>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</si>
  <si>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</si>
  <si>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</si>
  <si>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</si>
  <si>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</si>
  <si>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</si>
  <si>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</si>
  <si>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</si>
  <si>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</si>
  <si>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</si>
  <si>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</si>
  <si>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</si>
  <si>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</si>
  <si>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</si>
  <si>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</si>
  <si>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</si>
  <si>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</si>
  <si>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</si>
  <si>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</si>
  <si>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</si>
  <si>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</si>
  <si>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</si>
  <si>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</si>
  <si>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</si>
  <si>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</si>
  <si>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</si>
  <si>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</si>
  <si>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</si>
  <si>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</si>
  <si>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</si>
  <si>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</si>
  <si>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</si>
  <si>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</si>
  <si>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</si>
  <si>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</si>
  <si>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</si>
  <si>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</si>
  <si>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</si>
  <si>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</si>
  <si>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</si>
  <si>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</si>
  <si>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</si>
  <si>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</si>
  <si>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</si>
  <si>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</si>
  <si>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</si>
  <si>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</si>
  <si>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</si>
  <si>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</si>
  <si>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</si>
  <si>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</si>
  <si>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</si>
  <si>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</si>
  <si>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</si>
  <si>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</si>
  <si>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</si>
  <si>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</si>
  <si>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</si>
  <si>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</si>
  <si>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</si>
  <si>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</si>
  <si>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</si>
  <si>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</si>
  <si>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</si>
  <si>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</si>
  <si>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</si>
  <si>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</si>
  <si>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</si>
  <si>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</si>
  <si>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</si>
  <si>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</si>
  <si>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</si>
  <si>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</si>
  <si>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</si>
  <si>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</si>
  <si>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</si>
  <si>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</si>
  <si>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</si>
  <si>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</si>
  <si>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</si>
  <si>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</si>
  <si>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</si>
  <si>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</si>
  <si>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</si>
  <si>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</si>
  <si>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</si>
  <si>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</si>
  <si>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</si>
  <si>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</si>
  <si>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</si>
  <si>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</si>
  <si>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</si>
  <si>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</si>
  <si>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</si>
  <si>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</si>
  <si>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</si>
  <si>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</si>
  <si>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</si>
  <si>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</si>
  <si>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</si>
  <si>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</si>
  <si>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</si>
  <si>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</si>
  <si>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</si>
  <si>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</si>
  <si>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</si>
  <si>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</si>
  <si>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</si>
  <si>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</si>
  <si>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</si>
  <si>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</si>
  <si>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</si>
  <si>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</si>
  <si>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</si>
  <si>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</si>
  <si>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</si>
  <si>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</si>
  <si>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</si>
  <si>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</si>
  <si>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</si>
  <si>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</si>
  <si>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</si>
  <si>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</si>
  <si>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</si>
  <si>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</si>
  <si>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</si>
  <si>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</si>
  <si>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</si>
  <si>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</si>
  <si>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</si>
  <si>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</si>
  <si>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</si>
  <si>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</si>
  <si>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</si>
  <si>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</si>
  <si>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</si>
  <si>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</si>
  <si>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</si>
  <si>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</si>
  <si>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</si>
  <si>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</si>
  <si>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</si>
  <si>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</si>
  <si>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</si>
  <si>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</si>
  <si>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</si>
  <si>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</si>
  <si>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</si>
  <si>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</si>
  <si>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</si>
  <si>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</si>
  <si>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</si>
  <si>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</si>
  <si>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</si>
  <si>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</si>
  <si>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</si>
  <si>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</si>
  <si>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</si>
  <si>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</si>
  <si>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</si>
  <si>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</si>
  <si>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</si>
  <si>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</si>
  <si>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</si>
  <si>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</si>
  <si>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</si>
  <si>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</si>
  <si>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</si>
  <si>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</si>
  <si>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</si>
  <si>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</si>
  <si>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</si>
  <si>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</si>
  <si>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</si>
  <si>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</si>
  <si>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</si>
  <si>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</si>
  <si>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</si>
  <si>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</si>
  <si>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</si>
  <si>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</si>
  <si>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</si>
  <si>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</si>
  <si>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</si>
  <si>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</si>
  <si>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</si>
  <si>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</si>
  <si>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</si>
  <si>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</si>
  <si>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</si>
  <si>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</si>
  <si>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</si>
  <si>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</si>
  <si>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</si>
  <si>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</si>
  <si>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</si>
  <si>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</si>
  <si>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</si>
  <si>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</si>
  <si>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</si>
  <si>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</si>
  <si>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</si>
  <si>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</si>
  <si>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</si>
  <si>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</si>
  <si>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</si>
  <si>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</si>
  <si>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</si>
  <si>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</si>
  <si>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</si>
  <si>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</si>
  <si>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</si>
  <si>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</si>
  <si>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</si>
  <si>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</si>
  <si>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</si>
  <si>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</si>
  <si>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</si>
  <si>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</si>
  <si>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</si>
  <si>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</si>
  <si>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</si>
  <si>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</si>
  <si>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</si>
  <si>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</si>
  <si>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</si>
  <si>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</si>
  <si>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</si>
  <si>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</si>
  <si>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</si>
  <si>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</si>
  <si>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</si>
  <si>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</si>
  <si>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</si>
  <si>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</si>
  <si>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</si>
  <si>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</si>
  <si>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</si>
  <si>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</si>
  <si>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</si>
  <si>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</si>
  <si>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</si>
  <si>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</si>
  <si>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</si>
  <si>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</si>
  <si>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Közös Hivatal</t>
  </si>
  <si>
    <t>Mérleg</t>
  </si>
  <si>
    <t>Konszolidált mérleg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</si>
  <si>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</si>
  <si>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</si>
  <si>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</si>
  <si>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</si>
  <si>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 xml:space="preserve">Alaptevékenység finanszírozási egyenlege </t>
  </si>
  <si>
    <t xml:space="preserve">Alaptevékenység maradványa </t>
  </si>
  <si>
    <t xml:space="preserve">Összes maradvány </t>
  </si>
  <si>
    <t>Alaptevékenység kötelezettségvállalással terhelt maradványa</t>
  </si>
  <si>
    <t xml:space="preserve">Alaptevékenység szabad maradványa </t>
  </si>
  <si>
    <t>Alaptevékenység költségvetési bevételei</t>
  </si>
  <si>
    <t>Maradványkimutatás</t>
  </si>
  <si>
    <t>Az önkormányzat által felvett adósságállomány alakulása</t>
  </si>
  <si>
    <t>lejárat és eszközök szerinti bontásban</t>
  </si>
  <si>
    <t>Hitel jellege</t>
  </si>
  <si>
    <t>Hitel folyósítója</t>
  </si>
  <si>
    <t>Felvétel</t>
  </si>
  <si>
    <t xml:space="preserve">Lejárat 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</si>
  <si>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</si>
  <si>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</si>
  <si>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</si>
  <si>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</si>
  <si>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</si>
  <si>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Kis-Rába Menti Tak.Szöv.</t>
  </si>
  <si>
    <t xml:space="preserve">Összesen </t>
  </si>
  <si>
    <t xml:space="preserve">Adatok  forintban </t>
  </si>
  <si>
    <t>Hitelállomány dec. 31-én</t>
  </si>
  <si>
    <t>Fejlesztési célú hosszú lejáratú hitel Ifjúság utca útfelújításához</t>
  </si>
  <si>
    <t>2019.</t>
  </si>
  <si>
    <t>6/b. számú melléklet</t>
  </si>
  <si>
    <t>7. számú melléklet</t>
  </si>
  <si>
    <t>Adatok:  forintban</t>
  </si>
  <si>
    <t>17. melléklet</t>
  </si>
  <si>
    <t>19. számú melléklet</t>
  </si>
  <si>
    <t>22. számú melléklet</t>
  </si>
  <si>
    <t>Önkormányzat adósságot keletkeztető ügyletekből és kezességvállalásokból fennálló kötelezettségeihez kapcsolódó beruházás, felújítás</t>
  </si>
  <si>
    <t>Konyha és hivatal épületének energetikai korszerűsítése TOP-3.2.1-15</t>
  </si>
  <si>
    <t>Egsészégügyi objektum felújítása TOP-4.1.1-15</t>
  </si>
  <si>
    <t>Helyi piac kialakítása TOP-1.1.3-15</t>
  </si>
  <si>
    <t>Konyha, Hivatal energetikai felújítása (TOP pályázat)</t>
  </si>
  <si>
    <t>2. Felhalmozási célú egyéb átvett pénzeszközök államháztartáson kívülről</t>
  </si>
  <si>
    <t>IX. 2. b. Pszichiátriai betegek részére nyújtott közösségi alapellátás - teljesítménytámogatás</t>
  </si>
  <si>
    <t>I.1.a) Önkormányzati hivatal működésének támogatása</t>
  </si>
  <si>
    <t>01. Helyi önkormányzatok működésének általános támogatása</t>
  </si>
  <si>
    <t>3 d.) Házi segítségnyújtás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</si>
  <si>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</si>
  <si>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</si>
  <si>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</si>
  <si>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</si>
  <si>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</si>
  <si>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</si>
  <si>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</si>
  <si>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</si>
  <si>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</si>
  <si>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</si>
  <si>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</si>
  <si>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</si>
  <si>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</si>
  <si>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J) PASSZÍV IDŐBELI ELHATÁROLÁSOK</t>
  </si>
  <si>
    <t>FORRÁSOK ÖSSZESEN  (07+11+12+13)</t>
  </si>
  <si>
    <t xml:space="preserve">Beled Város Önkormányzata                                </t>
  </si>
  <si>
    <t xml:space="preserve"> az érték nélkül nyilvántartott eszközökről</t>
  </si>
  <si>
    <t xml:space="preserve">VAGYONKIMUTATÁS   </t>
  </si>
  <si>
    <t>TOP-3.2.1-15 Beled város középületeinek energetikai korszerűsítése (konyha, hivatal épülete)</t>
  </si>
  <si>
    <t>TOP-1.1.3-15 helyi termelői piac kialakítása Beleden</t>
  </si>
  <si>
    <t>TOP-3.1.1-15 Kerékpárút építése</t>
  </si>
  <si>
    <t>2017. évi Pünkösdi Fesztivál előkészítése, lebonyolítása 152/2016. (XII. 21.) határozat szerint</t>
  </si>
  <si>
    <t xml:space="preserve"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</si>
</sst>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  <numFmt numFmtId="175" formatCode="#,###__"/>
    <numFmt numFmtId="176" formatCode="00"/>
    <numFmt numFmtId="177" formatCode="#,###__;\-#,###__"/>
    <numFmt numFmtId="178" formatCode="#,###,_F_t;\-#,###,_F_t"/>
    <numFmt numFmtId="179" formatCode="#,###.00"/>
    <numFmt numFmtId="180" formatCode="#,###\ _F_t;\-#,###\ _F_t"/>
  </numFmts>
  <fonts count="135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Wingdings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7"/>
      <name val="Times New Roman CE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darkHorizontal"/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20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21" fillId="0" borderId="0" applyNumberFormat="0" applyFill="0" applyBorder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4" fillId="0" borderId="6" applyNumberFormat="0" applyFill="0" applyAlignment="0" applyProtection="0"/>
    <xf numFmtId="0" fontId="124" fillId="0" borderId="0" applyNumberFormat="0" applyFill="0" applyBorder="0" applyAlignment="0" applyProtection="0"/>
    <xf numFmtId="0" fontId="125" fillId="37" borderId="7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9" fillId="39" borderId="0" applyNumberFormat="0" applyBorder="0" applyAlignment="0" applyProtection="0"/>
    <xf numFmtId="0" fontId="119" fillId="40" borderId="0" applyNumberFormat="0" applyBorder="0" applyAlignment="0" applyProtection="0"/>
    <xf numFmtId="0" fontId="119" fillId="41" borderId="0" applyNumberFormat="0" applyBorder="0" applyAlignment="0" applyProtection="0"/>
    <xf numFmtId="0" fontId="119" fillId="42" borderId="0" applyNumberFormat="0" applyBorder="0" applyAlignment="0" applyProtection="0"/>
    <xf numFmtId="0" fontId="119" fillId="43" borderId="0" applyNumberFormat="0" applyBorder="0" applyAlignment="0" applyProtection="0"/>
    <xf numFmtId="0" fontId="119" fillId="44" borderId="0" applyNumberFormat="0" applyBorder="0" applyAlignment="0" applyProtection="0"/>
    <xf numFmtId="0" fontId="128" fillId="45" borderId="0" applyNumberFormat="0" applyBorder="0" applyAlignment="0" applyProtection="0"/>
    <xf numFmtId="0" fontId="129" fillId="46" borderId="13" applyNumberFormat="0" applyAlignment="0" applyProtection="0"/>
    <xf numFmtId="0" fontId="69" fillId="0" borderId="0" applyNumberFormat="0" applyFill="0" applyBorder="0" applyAlignment="0" applyProtection="0"/>
    <xf numFmtId="0" fontId="99" fillId="0" borderId="14" applyNumberFormat="0" applyFill="0" applyAlignment="0" applyProtection="0"/>
    <xf numFmtId="0" fontId="13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60" fillId="0" borderId="0">
      <alignment/>
      <protection/>
    </xf>
    <xf numFmtId="0" fontId="78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3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47" borderId="0" applyNumberFormat="0" applyBorder="0" applyAlignment="0" applyProtection="0"/>
    <xf numFmtId="0" fontId="133" fillId="48" borderId="0" applyNumberFormat="0" applyBorder="0" applyAlignment="0" applyProtection="0"/>
    <xf numFmtId="0" fontId="134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6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34" fillId="0" borderId="0" xfId="105" applyFont="1" applyAlignment="1">
      <alignment horizontal="center" vertical="center"/>
      <protection/>
    </xf>
    <xf numFmtId="0" fontId="27" fillId="0" borderId="21" xfId="105" applyFont="1" applyBorder="1" applyAlignment="1">
      <alignment horizontal="left" vertical="center" wrapText="1"/>
      <protection/>
    </xf>
    <xf numFmtId="0" fontId="17" fillId="0" borderId="0" xfId="104" applyFont="1" applyBorder="1" applyAlignment="1">
      <alignment horizont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0" fontId="37" fillId="0" borderId="24" xfId="105" applyFont="1" applyBorder="1" applyAlignment="1">
      <alignment horizontal="center" vertical="center" wrapText="1"/>
      <protection/>
    </xf>
    <xf numFmtId="0" fontId="37" fillId="0" borderId="25" xfId="105" applyFont="1" applyBorder="1" applyAlignment="1">
      <alignment horizontal="center" vertical="center" wrapText="1"/>
      <protection/>
    </xf>
    <xf numFmtId="0" fontId="0" fillId="0" borderId="26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3" xfId="104" applyFont="1" applyFill="1" applyBorder="1" applyAlignment="1">
      <alignment horizontal="center" vertical="center" wrapText="1"/>
      <protection/>
    </xf>
    <xf numFmtId="0" fontId="0" fillId="0" borderId="27" xfId="104" applyFont="1" applyFill="1" applyBorder="1" applyAlignment="1">
      <alignment horizontal="left" vertical="center" wrapText="1"/>
      <protection/>
    </xf>
    <xf numFmtId="0" fontId="6" fillId="0" borderId="23" xfId="104" applyFont="1" applyBorder="1" applyAlignment="1">
      <alignment vertical="center" wrapText="1"/>
      <protection/>
    </xf>
    <xf numFmtId="0" fontId="13" fillId="0" borderId="0" xfId="104" applyFont="1" applyAlignment="1">
      <alignment vertical="center"/>
      <protection/>
    </xf>
    <xf numFmtId="0" fontId="0" fillId="0" borderId="28" xfId="104" applyFont="1" applyBorder="1" applyAlignment="1">
      <alignment horizontal="center" vertical="center"/>
      <protection/>
    </xf>
    <xf numFmtId="0" fontId="2" fillId="0" borderId="29" xfId="104" applyFont="1" applyFill="1" applyBorder="1" applyAlignment="1">
      <alignment vertical="center" wrapText="1"/>
      <protection/>
    </xf>
    <xf numFmtId="0" fontId="0" fillId="0" borderId="30" xfId="104" applyFont="1" applyBorder="1" applyAlignment="1">
      <alignment horizontal="center" vertical="center"/>
      <protection/>
    </xf>
    <xf numFmtId="0" fontId="20" fillId="0" borderId="0" xfId="105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29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21" xfId="104" applyFont="1" applyBorder="1" applyAlignment="1">
      <alignment wrapText="1"/>
      <protection/>
    </xf>
    <xf numFmtId="0" fontId="15" fillId="0" borderId="21" xfId="104" applyFont="1" applyFill="1" applyBorder="1" applyAlignment="1">
      <alignment wrapText="1"/>
      <protection/>
    </xf>
    <xf numFmtId="0" fontId="12" fillId="0" borderId="31" xfId="104" applyFont="1" applyBorder="1" applyAlignment="1">
      <alignment vertical="center" wrapText="1"/>
      <protection/>
    </xf>
    <xf numFmtId="0" fontId="12" fillId="0" borderId="31" xfId="104" applyFont="1" applyBorder="1" applyAlignment="1">
      <alignment wrapText="1"/>
      <protection/>
    </xf>
    <xf numFmtId="3" fontId="42" fillId="0" borderId="32" xfId="104" applyNumberFormat="1" applyFont="1" applyFill="1" applyBorder="1" applyAlignment="1">
      <alignment horizontal="right"/>
      <protection/>
    </xf>
    <xf numFmtId="0" fontId="42" fillId="0" borderId="32" xfId="104" applyFont="1" applyBorder="1" applyAlignment="1">
      <alignment horizontal="right"/>
      <protection/>
    </xf>
    <xf numFmtId="3" fontId="42" fillId="0" borderId="33" xfId="104" applyNumberFormat="1" applyFont="1" applyBorder="1" applyAlignment="1">
      <alignment horizontal="right"/>
      <protection/>
    </xf>
    <xf numFmtId="3" fontId="42" fillId="0" borderId="32" xfId="104" applyNumberFormat="1" applyFont="1" applyBorder="1" applyAlignment="1">
      <alignment horizontal="right"/>
      <protection/>
    </xf>
    <xf numFmtId="3" fontId="18" fillId="0" borderId="24" xfId="68" applyNumberFormat="1" applyFont="1" applyBorder="1" applyAlignment="1">
      <alignment horizontal="right" vertical="center"/>
    </xf>
    <xf numFmtId="3" fontId="18" fillId="0" borderId="24" xfId="104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34" xfId="104" applyFont="1" applyBorder="1" applyAlignment="1">
      <alignment horizontal="center" vertical="center"/>
      <protection/>
    </xf>
    <xf numFmtId="0" fontId="11" fillId="0" borderId="21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32" xfId="104" applyFont="1" applyFill="1" applyBorder="1" applyAlignment="1">
      <alignment horizontal="left" vertical="center" wrapText="1"/>
      <protection/>
    </xf>
    <xf numFmtId="0" fontId="0" fillId="0" borderId="21" xfId="104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3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32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6" xfId="104" applyFont="1" applyBorder="1" applyAlignment="1">
      <alignment horizontal="center" vertical="center"/>
      <protection/>
    </xf>
    <xf numFmtId="3" fontId="11" fillId="0" borderId="0" xfId="104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2" fillId="0" borderId="33" xfId="104" applyNumberFormat="1" applyFont="1" applyFill="1" applyBorder="1" applyAlignment="1">
      <alignment horizontal="right"/>
      <protection/>
    </xf>
    <xf numFmtId="3" fontId="42" fillId="0" borderId="35" xfId="104" applyNumberFormat="1" applyFont="1" applyBorder="1" applyAlignment="1">
      <alignment horizontal="right"/>
      <protection/>
    </xf>
    <xf numFmtId="0" fontId="15" fillId="0" borderId="36" xfId="104" applyFont="1" applyBorder="1" applyAlignment="1">
      <alignment wrapText="1"/>
      <protection/>
    </xf>
    <xf numFmtId="0" fontId="14" fillId="0" borderId="32" xfId="0" applyFont="1" applyFill="1" applyBorder="1" applyAlignment="1">
      <alignment vertical="center" wrapText="1"/>
    </xf>
    <xf numFmtId="0" fontId="33" fillId="0" borderId="32" xfId="0" applyFont="1" applyFill="1" applyBorder="1" applyAlignment="1">
      <alignment vertical="center"/>
    </xf>
    <xf numFmtId="0" fontId="33" fillId="0" borderId="32" xfId="104" applyFont="1" applyFill="1" applyBorder="1" applyAlignment="1">
      <alignment vertical="center"/>
      <protection/>
    </xf>
    <xf numFmtId="0" fontId="33" fillId="0" borderId="37" xfId="104" applyFont="1" applyFill="1" applyBorder="1" applyAlignment="1">
      <alignment vertical="center"/>
      <protection/>
    </xf>
    <xf numFmtId="0" fontId="14" fillId="0" borderId="27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9" fillId="0" borderId="0" xfId="0" applyFont="1" applyAlignment="1">
      <alignment wrapText="1"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2" xfId="0" applyNumberFormat="1" applyFont="1" applyBorder="1" applyAlignment="1">
      <alignment horizontal="left"/>
    </xf>
    <xf numFmtId="49" fontId="7" fillId="0" borderId="43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4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2" xfId="0" applyNumberFormat="1" applyFont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3" fontId="7" fillId="0" borderId="35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45" xfId="105" applyFont="1" applyBorder="1" applyAlignment="1">
      <alignment horizontal="left" vertical="center" wrapText="1"/>
      <protection/>
    </xf>
    <xf numFmtId="0" fontId="27" fillId="0" borderId="46" xfId="0" applyFont="1" applyBorder="1" applyAlignment="1">
      <alignment vertical="center" wrapText="1"/>
    </xf>
    <xf numFmtId="2" fontId="38" fillId="0" borderId="32" xfId="105" applyNumberFormat="1" applyFont="1" applyFill="1" applyBorder="1" applyAlignment="1">
      <alignment horizontal="center" vertical="center" wrapText="1"/>
      <protection/>
    </xf>
    <xf numFmtId="2" fontId="38" fillId="0" borderId="29" xfId="105" applyNumberFormat="1" applyFont="1" applyFill="1" applyBorder="1" applyAlignment="1">
      <alignment horizontal="center" vertical="center" wrapText="1"/>
      <protection/>
    </xf>
    <xf numFmtId="2" fontId="38" fillId="0" borderId="24" xfId="105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0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2" fillId="0" borderId="0" xfId="0" applyFont="1" applyAlignment="1" applyProtection="1">
      <alignment horizontal="right" vertical="top"/>
      <protection locked="0"/>
    </xf>
    <xf numFmtId="167" fontId="53" fillId="0" borderId="0" xfId="0" applyNumberFormat="1" applyFont="1" applyFill="1" applyAlignment="1" applyProtection="1">
      <alignment vertical="center" wrapText="1"/>
      <protection locked="0"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0" fillId="0" borderId="4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54" fillId="0" borderId="23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50" fillId="0" borderId="42" xfId="0" applyFont="1" applyFill="1" applyBorder="1" applyAlignment="1" applyProtection="1">
      <alignment horizontal="center" vertical="center" wrapText="1"/>
      <protection/>
    </xf>
    <xf numFmtId="0" fontId="50" fillId="0" borderId="43" xfId="0" applyFont="1" applyFill="1" applyBorder="1" applyAlignment="1" applyProtection="1">
      <alignment horizontal="center" vertical="center" wrapTex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54" fillId="0" borderId="23" xfId="0" applyFont="1" applyFill="1" applyBorder="1" applyAlignment="1" applyProtection="1">
      <alignment horizontal="left" vertical="center" wrapText="1" indent="1"/>
      <protection/>
    </xf>
    <xf numFmtId="167" fontId="54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49" fontId="46" fillId="0" borderId="32" xfId="0" applyNumberFormat="1" applyFont="1" applyFill="1" applyBorder="1" applyAlignment="1" applyProtection="1">
      <alignment horizontal="center" vertical="center" wrapText="1"/>
      <protection/>
    </xf>
    <xf numFmtId="0" fontId="54" fillId="0" borderId="21" xfId="0" applyFont="1" applyFill="1" applyBorder="1" applyAlignment="1" applyProtection="1">
      <alignment horizontal="center" vertical="center" wrapText="1"/>
      <protection/>
    </xf>
    <xf numFmtId="0" fontId="46" fillId="0" borderId="32" xfId="107" applyFont="1" applyFill="1" applyBorder="1" applyAlignment="1" applyProtection="1">
      <alignment horizontal="left" vertical="center" wrapText="1" indent="1"/>
      <protection/>
    </xf>
    <xf numFmtId="167" fontId="4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46" fillId="0" borderId="29" xfId="107" applyFont="1" applyFill="1" applyBorder="1" applyAlignment="1" applyProtection="1">
      <alignment horizontal="left" vertical="center" wrapText="1" indent="1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54" fillId="0" borderId="23" xfId="107" applyFont="1" applyFill="1" applyBorder="1" applyAlignment="1" applyProtection="1">
      <alignment horizontal="left" vertical="center" wrapText="1" inden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49" fontId="46" fillId="0" borderId="27" xfId="0" applyNumberFormat="1" applyFont="1" applyFill="1" applyBorder="1" applyAlignment="1" applyProtection="1">
      <alignment horizontal="center" vertical="center" wrapText="1"/>
      <protection/>
    </xf>
    <xf numFmtId="0" fontId="46" fillId="0" borderId="27" xfId="107" applyFont="1" applyFill="1" applyBorder="1" applyAlignment="1" applyProtection="1">
      <alignment horizontal="left" vertical="center" wrapText="1" indent="1"/>
      <protection/>
    </xf>
    <xf numFmtId="167" fontId="4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5" xfId="0" applyFont="1" applyFill="1" applyBorder="1" applyAlignment="1" applyProtection="1">
      <alignment horizontal="center" vertical="center" wrapText="1"/>
      <protection/>
    </xf>
    <xf numFmtId="49" fontId="46" fillId="0" borderId="29" xfId="0" applyNumberFormat="1" applyFont="1" applyFill="1" applyBorder="1" applyAlignment="1" applyProtection="1">
      <alignment horizontal="center" vertical="center" wrapText="1"/>
      <protection/>
    </xf>
    <xf numFmtId="0" fontId="46" fillId="0" borderId="51" xfId="107" applyFont="1" applyFill="1" applyBorder="1" applyAlignment="1" applyProtection="1">
      <alignment horizontal="left" vertical="center" wrapText="1" indent="1"/>
      <protection/>
    </xf>
    <xf numFmtId="167" fontId="4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23" xfId="107" applyNumberFormat="1" applyFont="1" applyFill="1" applyBorder="1" applyAlignment="1" applyProtection="1">
      <alignment horizontal="left" vertical="center" wrapText="1" indent="1"/>
      <protection/>
    </xf>
    <xf numFmtId="0" fontId="55" fillId="0" borderId="53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54" fillId="0" borderId="47" xfId="107" applyFont="1" applyFill="1" applyBorder="1" applyAlignment="1" applyProtection="1">
      <alignment horizontal="left" vertical="center" wrapText="1" indent="1"/>
      <protection/>
    </xf>
    <xf numFmtId="49" fontId="46" fillId="0" borderId="27" xfId="107" applyNumberFormat="1" applyFont="1" applyFill="1" applyBorder="1" applyAlignment="1" applyProtection="1">
      <alignment horizontal="left" vertical="center" wrapText="1" indent="1"/>
      <protection/>
    </xf>
    <xf numFmtId="0" fontId="30" fillId="0" borderId="31" xfId="0" applyFont="1" applyFill="1" applyBorder="1" applyAlignment="1" applyProtection="1">
      <alignment vertical="center" wrapText="1"/>
      <protection/>
    </xf>
    <xf numFmtId="49" fontId="46" fillId="0" borderId="24" xfId="107" applyNumberFormat="1" applyFont="1" applyFill="1" applyBorder="1" applyAlignment="1" applyProtection="1">
      <alignment horizontal="left" vertical="center" wrapText="1" indent="1"/>
      <protection/>
    </xf>
    <xf numFmtId="0" fontId="46" fillId="0" borderId="24" xfId="107" applyFont="1" applyFill="1" applyBorder="1" applyAlignment="1" applyProtection="1">
      <alignment horizontal="left" vertical="center" wrapText="1" indent="1"/>
      <protection/>
    </xf>
    <xf numFmtId="167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 applyProtection="1">
      <alignment horizontal="center" wrapText="1"/>
      <protection/>
    </xf>
    <xf numFmtId="0" fontId="54" fillId="0" borderId="54" xfId="107" applyFont="1" applyFill="1" applyBorder="1" applyAlignment="1" applyProtection="1">
      <alignment horizontal="left" vertical="center" wrapText="1" indent="1"/>
      <protection/>
    </xf>
    <xf numFmtId="0" fontId="57" fillId="0" borderId="54" xfId="0" applyFont="1" applyBorder="1" applyAlignment="1" applyProtection="1">
      <alignment horizontal="center" wrapText="1"/>
      <protection/>
    </xf>
    <xf numFmtId="0" fontId="58" fillId="0" borderId="54" xfId="0" applyFont="1" applyBorder="1" applyAlignment="1" applyProtection="1">
      <alignment horizontal="left" wrapText="1" indent="1"/>
      <protection/>
    </xf>
    <xf numFmtId="167" fontId="54" fillId="0" borderId="55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 indent="1"/>
      <protection/>
    </xf>
    <xf numFmtId="167" fontId="5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9" fillId="0" borderId="0" xfId="0" applyFont="1" applyFill="1" applyAlignment="1">
      <alignment vertical="center" wrapText="1"/>
    </xf>
    <xf numFmtId="0" fontId="46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 applyProtection="1">
      <alignment horizontal="right" vertical="center" wrapText="1" indent="1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44" xfId="0" applyFont="1" applyFill="1" applyBorder="1" applyAlignment="1" applyProtection="1">
      <alignment horizontal="center" vertical="center" wrapText="1"/>
      <protection/>
    </xf>
    <xf numFmtId="0" fontId="50" fillId="0" borderId="44" xfId="0" applyFont="1" applyFill="1" applyBorder="1" applyAlignment="1" applyProtection="1">
      <alignment horizontal="center" vertical="center" wrapText="1"/>
      <protection/>
    </xf>
    <xf numFmtId="0" fontId="54" fillId="0" borderId="23" xfId="107" applyFont="1" applyFill="1" applyBorder="1" applyAlignment="1" applyProtection="1">
      <alignment horizontal="left" vertical="center" wrapText="1" indent="1"/>
      <protection/>
    </xf>
    <xf numFmtId="0" fontId="54" fillId="0" borderId="34" xfId="0" applyFont="1" applyFill="1" applyBorder="1" applyAlignment="1" applyProtection="1">
      <alignment horizontal="center" vertical="center" wrapText="1"/>
      <protection/>
    </xf>
    <xf numFmtId="49" fontId="46" fillId="0" borderId="29" xfId="107" applyNumberFormat="1" applyFont="1" applyFill="1" applyBorder="1" applyAlignment="1" applyProtection="1">
      <alignment horizontal="left" vertical="center" wrapText="1" indent="1"/>
      <protection/>
    </xf>
    <xf numFmtId="0" fontId="54" fillId="0" borderId="21" xfId="0" applyFont="1" applyFill="1" applyBorder="1" applyAlignment="1" applyProtection="1">
      <alignment horizontal="center" vertical="center" wrapText="1"/>
      <protection/>
    </xf>
    <xf numFmtId="49" fontId="46" fillId="0" borderId="32" xfId="107" applyNumberFormat="1" applyFont="1" applyFill="1" applyBorder="1" applyAlignment="1" applyProtection="1">
      <alignment horizontal="left" vertical="center" wrapText="1" indent="1"/>
      <protection/>
    </xf>
    <xf numFmtId="167" fontId="4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23" xfId="0" applyFont="1" applyFill="1" applyBorder="1" applyAlignment="1" applyProtection="1">
      <alignment horizontal="center" vertical="center" wrapText="1"/>
      <protection/>
    </xf>
    <xf numFmtId="167" fontId="54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22" xfId="0" applyFont="1" applyFill="1" applyBorder="1" applyAlignment="1" applyProtection="1">
      <alignment horizontal="left" vertical="center"/>
      <protection/>
    </xf>
    <xf numFmtId="0" fontId="60" fillId="0" borderId="44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4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35" xfId="0" applyNumberFormat="1" applyFont="1" applyFill="1" applyBorder="1" applyAlignment="1" applyProtection="1">
      <alignment horizontal="center" vertical="center" wrapText="1"/>
      <protection/>
    </xf>
    <xf numFmtId="167" fontId="54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107" applyFill="1">
      <alignment/>
      <protection/>
    </xf>
    <xf numFmtId="3" fontId="46" fillId="0" borderId="0" xfId="107" applyNumberFormat="1" applyFont="1" applyFill="1" applyBorder="1">
      <alignment/>
      <protection/>
    </xf>
    <xf numFmtId="167" fontId="46" fillId="0" borderId="0" xfId="107" applyNumberFormat="1" applyFont="1" applyFill="1" applyBorder="1">
      <alignment/>
      <protection/>
    </xf>
    <xf numFmtId="0" fontId="54" fillId="0" borderId="22" xfId="107" applyFont="1" applyFill="1" applyBorder="1" applyAlignment="1" applyProtection="1">
      <alignment horizontal="left" vertical="center" wrapText="1" indent="1"/>
      <protection/>
    </xf>
    <xf numFmtId="0" fontId="62" fillId="0" borderId="0" xfId="107" applyFont="1" applyFill="1">
      <alignment/>
      <protection/>
    </xf>
    <xf numFmtId="49" fontId="46" fillId="0" borderId="0" xfId="107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107" applyFont="1" applyFill="1" applyBorder="1" applyAlignment="1" applyProtection="1">
      <alignment horizontal="left" indent="5"/>
      <protection/>
    </xf>
    <xf numFmtId="3" fontId="46" fillId="0" borderId="0" xfId="107" applyNumberFormat="1" applyFont="1" applyFill="1" applyBorder="1" applyAlignment="1" applyProtection="1">
      <alignment horizontal="right" vertical="center" wrapText="1"/>
      <protection/>
    </xf>
    <xf numFmtId="0" fontId="47" fillId="0" borderId="0" xfId="107" applyFont="1" applyFill="1" applyAlignment="1">
      <alignment horizontal="center" wrapText="1"/>
      <protection/>
    </xf>
    <xf numFmtId="3" fontId="46" fillId="0" borderId="0" xfId="107" applyNumberFormat="1" applyFont="1" applyFill="1">
      <alignment/>
      <protection/>
    </xf>
    <xf numFmtId="0" fontId="46" fillId="0" borderId="0" xfId="107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49" fontId="7" fillId="0" borderId="56" xfId="0" applyNumberFormat="1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15" fillId="0" borderId="36" xfId="104" applyFont="1" applyFill="1" applyBorder="1" applyAlignment="1">
      <alignment wrapText="1"/>
      <protection/>
    </xf>
    <xf numFmtId="0" fontId="54" fillId="0" borderId="26" xfId="107" applyFont="1" applyFill="1" applyBorder="1" applyAlignment="1" applyProtection="1">
      <alignment horizontal="left" vertical="center" wrapText="1" indent="1"/>
      <protection/>
    </xf>
    <xf numFmtId="49" fontId="54" fillId="0" borderId="21" xfId="107" applyNumberFormat="1" applyFont="1" applyFill="1" applyBorder="1" applyAlignment="1" applyProtection="1">
      <alignment horizontal="left" vertical="center" wrapText="1" indent="1"/>
      <protection/>
    </xf>
    <xf numFmtId="49" fontId="54" fillId="0" borderId="31" xfId="107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51" xfId="105" applyNumberFormat="1" applyFont="1" applyBorder="1" applyAlignment="1">
      <alignment horizontal="center" vertical="center"/>
      <protection/>
    </xf>
    <xf numFmtId="167" fontId="28" fillId="0" borderId="23" xfId="107" applyNumberFormat="1" applyFont="1" applyFill="1" applyBorder="1" applyAlignment="1" applyProtection="1">
      <alignment horizontal="right" vertical="center" wrapText="1"/>
      <protection/>
    </xf>
    <xf numFmtId="167" fontId="43" fillId="0" borderId="19" xfId="107" applyNumberFormat="1" applyFont="1" applyFill="1" applyBorder="1" applyAlignment="1" applyProtection="1">
      <alignment horizontal="left" vertical="center"/>
      <protection/>
    </xf>
    <xf numFmtId="3" fontId="28" fillId="0" borderId="27" xfId="107" applyNumberFormat="1" applyFont="1" applyFill="1" applyBorder="1" applyAlignment="1" applyProtection="1">
      <alignment horizontal="right" vertical="center" wrapText="1"/>
      <protection/>
    </xf>
    <xf numFmtId="3" fontId="28" fillId="0" borderId="32" xfId="107" applyNumberFormat="1" applyFont="1" applyFill="1" applyBorder="1" applyAlignment="1" applyProtection="1">
      <alignment horizontal="right" vertical="center" wrapText="1"/>
      <protection/>
    </xf>
    <xf numFmtId="3" fontId="28" fillId="0" borderId="24" xfId="107" applyNumberFormat="1" applyFont="1" applyFill="1" applyBorder="1" applyAlignment="1" applyProtection="1">
      <alignment horizontal="right" vertical="center" wrapText="1"/>
      <protection/>
    </xf>
    <xf numFmtId="49" fontId="44" fillId="0" borderId="21" xfId="107" applyNumberFormat="1" applyFont="1" applyFill="1" applyBorder="1" applyAlignment="1" applyProtection="1">
      <alignment horizontal="left" vertical="center" wrapText="1"/>
      <protection/>
    </xf>
    <xf numFmtId="49" fontId="30" fillId="0" borderId="21" xfId="107" applyNumberFormat="1" applyFont="1" applyFill="1" applyBorder="1" applyAlignment="1">
      <alignment horizontal="left"/>
      <protection/>
    </xf>
    <xf numFmtId="49" fontId="30" fillId="0" borderId="21" xfId="107" applyNumberFormat="1" applyFont="1" applyFill="1" applyBorder="1" applyAlignment="1" applyProtection="1">
      <alignment horizontal="left" vertical="center" wrapText="1"/>
      <protection/>
    </xf>
    <xf numFmtId="0" fontId="28" fillId="0" borderId="26" xfId="107" applyFont="1" applyFill="1" applyBorder="1" applyAlignment="1">
      <alignment horizontal="center"/>
      <protection/>
    </xf>
    <xf numFmtId="3" fontId="28" fillId="0" borderId="27" xfId="107" applyNumberFormat="1" applyFont="1" applyFill="1" applyBorder="1">
      <alignment/>
      <protection/>
    </xf>
    <xf numFmtId="3" fontId="30" fillId="0" borderId="32" xfId="107" applyNumberFormat="1" applyFont="1" applyFill="1" applyBorder="1">
      <alignment/>
      <protection/>
    </xf>
    <xf numFmtId="167" fontId="30" fillId="0" borderId="32" xfId="107" applyNumberFormat="1" applyFont="1" applyFill="1" applyBorder="1">
      <alignment/>
      <protection/>
    </xf>
    <xf numFmtId="49" fontId="44" fillId="0" borderId="31" xfId="107" applyNumberFormat="1" applyFont="1" applyFill="1" applyBorder="1" applyAlignment="1">
      <alignment horizontal="left"/>
      <protection/>
    </xf>
    <xf numFmtId="3" fontId="30" fillId="0" borderId="24" xfId="107" applyNumberFormat="1" applyFont="1" applyFill="1" applyBorder="1">
      <alignment/>
      <protection/>
    </xf>
    <xf numFmtId="167" fontId="28" fillId="0" borderId="51" xfId="107" applyNumberFormat="1" applyFont="1" applyFill="1" applyBorder="1" applyAlignment="1" applyProtection="1">
      <alignment horizontal="right" vertical="center" wrapText="1"/>
      <protection/>
    </xf>
    <xf numFmtId="167" fontId="28" fillId="0" borderId="27" xfId="107" applyNumberFormat="1" applyFont="1" applyFill="1" applyBorder="1" applyAlignment="1" applyProtection="1">
      <alignment horizontal="right" vertical="center" wrapText="1"/>
      <protection/>
    </xf>
    <xf numFmtId="167" fontId="28" fillId="0" borderId="32" xfId="107" applyNumberFormat="1" applyFont="1" applyFill="1" applyBorder="1" applyAlignment="1" applyProtection="1">
      <alignment horizontal="right" vertical="center" wrapText="1"/>
      <protection/>
    </xf>
    <xf numFmtId="3" fontId="18" fillId="0" borderId="25" xfId="104" applyNumberFormat="1" applyFont="1" applyBorder="1" applyAlignment="1">
      <alignment horizontal="right"/>
      <protection/>
    </xf>
    <xf numFmtId="0" fontId="7" fillId="0" borderId="5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47" xfId="0" applyNumberFormat="1" applyFont="1" applyFill="1" applyBorder="1" applyAlignment="1" applyProtection="1">
      <alignment horizontal="center" vertical="center" wrapText="1"/>
      <protection/>
    </xf>
    <xf numFmtId="167" fontId="50" fillId="0" borderId="58" xfId="0" applyNumberFormat="1" applyFont="1" applyFill="1" applyBorder="1" applyAlignment="1" applyProtection="1">
      <alignment horizontal="center" vertical="center" wrapText="1"/>
      <protection/>
    </xf>
    <xf numFmtId="167" fontId="54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39" xfId="0" applyNumberFormat="1" applyFont="1" applyFill="1" applyBorder="1" applyAlignment="1" applyProtection="1">
      <alignment horizontal="center" vertical="center" wrapText="1"/>
      <protection/>
    </xf>
    <xf numFmtId="167" fontId="50" fillId="0" borderId="61" xfId="0" applyNumberFormat="1" applyFont="1" applyFill="1" applyBorder="1" applyAlignment="1" applyProtection="1">
      <alignment horizontal="center" vertical="center" wrapText="1"/>
      <protection/>
    </xf>
    <xf numFmtId="167" fontId="5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29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2" fontId="34" fillId="0" borderId="0" xfId="105" applyNumberFormat="1" applyFont="1" applyAlignment="1">
      <alignment horizontal="center" vertical="center"/>
      <protection/>
    </xf>
    <xf numFmtId="1" fontId="38" fillId="0" borderId="50" xfId="105" applyNumberFormat="1" applyFont="1" applyFill="1" applyBorder="1" applyAlignment="1">
      <alignment horizontal="center" vertical="center" wrapText="1"/>
      <protection/>
    </xf>
    <xf numFmtId="1" fontId="38" fillId="0" borderId="33" xfId="105" applyNumberFormat="1" applyFont="1" applyFill="1" applyBorder="1" applyAlignment="1">
      <alignment horizontal="center" vertical="center" wrapText="1"/>
      <protection/>
    </xf>
    <xf numFmtId="1" fontId="38" fillId="0" borderId="25" xfId="105" applyNumberFormat="1" applyFont="1" applyFill="1" applyBorder="1" applyAlignment="1">
      <alignment horizontal="center" vertical="center" wrapText="1"/>
      <protection/>
    </xf>
    <xf numFmtId="1" fontId="36" fillId="0" borderId="52" xfId="105" applyNumberFormat="1" applyFont="1" applyBorder="1" applyAlignment="1">
      <alignment horizontal="center" vertical="center"/>
      <protection/>
    </xf>
    <xf numFmtId="1" fontId="36" fillId="0" borderId="48" xfId="105" applyNumberFormat="1" applyFont="1" applyBorder="1" applyAlignment="1">
      <alignment horizontal="center" vertical="center" wrapText="1"/>
      <protection/>
    </xf>
    <xf numFmtId="0" fontId="47" fillId="0" borderId="0" xfId="107" applyFont="1" applyFill="1" applyBorder="1" applyAlignment="1">
      <alignment horizontal="center" wrapText="1"/>
      <protection/>
    </xf>
    <xf numFmtId="0" fontId="3" fillId="0" borderId="44" xfId="0" applyFont="1" applyFill="1" applyBorder="1" applyAlignment="1">
      <alignment horizontal="center" vertical="center" wrapText="1"/>
    </xf>
    <xf numFmtId="0" fontId="47" fillId="0" borderId="0" xfId="107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4" fillId="0" borderId="63" xfId="0" applyFont="1" applyFill="1" applyBorder="1" applyAlignment="1" applyProtection="1">
      <alignment horizontal="center" vertical="center" wrapText="1"/>
      <protection/>
    </xf>
    <xf numFmtId="167" fontId="50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4" xfId="104" applyFont="1" applyFill="1" applyBorder="1" applyAlignment="1">
      <alignment horizontal="center" vertical="center" wrapText="1"/>
      <protection/>
    </xf>
    <xf numFmtId="0" fontId="12" fillId="1" borderId="29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50" fillId="0" borderId="54" xfId="0" applyFont="1" applyFill="1" applyBorder="1" applyAlignment="1" applyProtection="1">
      <alignment horizontal="center" vertical="center" wrapText="1"/>
      <protection/>
    </xf>
    <xf numFmtId="0" fontId="16" fillId="49" borderId="49" xfId="104" applyFont="1" applyFill="1" applyBorder="1" applyAlignment="1">
      <alignment horizontal="center" vertical="center"/>
      <protection/>
    </xf>
    <xf numFmtId="0" fontId="16" fillId="49" borderId="37" xfId="104" applyFont="1" applyFill="1" applyBorder="1" applyAlignment="1">
      <alignment horizontal="center" vertical="center"/>
      <protection/>
    </xf>
    <xf numFmtId="0" fontId="16" fillId="49" borderId="53" xfId="104" applyFont="1" applyFill="1" applyBorder="1" applyAlignment="1">
      <alignment horizontal="center" vertical="center"/>
      <protection/>
    </xf>
    <xf numFmtId="0" fontId="16" fillId="49" borderId="47" xfId="104" applyFont="1" applyFill="1" applyBorder="1" applyAlignment="1">
      <alignment horizontal="center" vertical="center"/>
      <protection/>
    </xf>
    <xf numFmtId="0" fontId="11" fillId="0" borderId="0" xfId="104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8" fillId="0" borderId="54" xfId="0" applyFont="1" applyBorder="1" applyAlignment="1" applyProtection="1">
      <alignment horizontal="center" wrapText="1"/>
      <protection/>
    </xf>
    <xf numFmtId="0" fontId="52" fillId="0" borderId="54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3" fontId="13" fillId="0" borderId="34" xfId="104" applyNumberFormat="1" applyFont="1" applyFill="1" applyBorder="1" applyAlignment="1">
      <alignment vertical="center"/>
      <protection/>
    </xf>
    <xf numFmtId="0" fontId="11" fillId="0" borderId="28" xfId="104" applyFont="1" applyBorder="1" applyAlignment="1">
      <alignment vertical="center" wrapText="1"/>
      <protection/>
    </xf>
    <xf numFmtId="0" fontId="11" fillId="0" borderId="30" xfId="104" applyFont="1" applyBorder="1" applyAlignment="1">
      <alignment vertical="center" wrapText="1"/>
      <protection/>
    </xf>
    <xf numFmtId="0" fontId="11" fillId="0" borderId="42" xfId="104" applyFont="1" applyBorder="1" applyAlignment="1">
      <alignment vertical="center" wrapText="1"/>
      <protection/>
    </xf>
    <xf numFmtId="0" fontId="11" fillId="0" borderId="46" xfId="104" applyFont="1" applyBorder="1" applyAlignment="1">
      <alignment vertical="center" wrapText="1"/>
      <protection/>
    </xf>
    <xf numFmtId="0" fontId="13" fillId="0" borderId="65" xfId="104" applyFont="1" applyBorder="1" applyAlignment="1">
      <alignment vertical="center" wrapText="1"/>
      <protection/>
    </xf>
    <xf numFmtId="0" fontId="11" fillId="0" borderId="28" xfId="104" applyFont="1" applyBorder="1" applyAlignment="1">
      <alignment vertical="center"/>
      <protection/>
    </xf>
    <xf numFmtId="0" fontId="11" fillId="0" borderId="42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65" xfId="0" applyFont="1" applyBorder="1" applyAlignment="1">
      <alignment horizontal="center" vertical="center" wrapText="1"/>
    </xf>
    <xf numFmtId="0" fontId="20" fillId="0" borderId="42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39" fillId="0" borderId="65" xfId="104" applyFont="1" applyBorder="1" applyAlignment="1">
      <alignment horizontal="center" vertical="center"/>
      <protection/>
    </xf>
    <xf numFmtId="0" fontId="7" fillId="0" borderId="41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0" xfId="78" applyFont="1" applyBorder="1" applyAlignment="1" applyProtection="1">
      <alignment vertical="center" wrapText="1"/>
      <protection/>
    </xf>
    <xf numFmtId="0" fontId="7" fillId="0" borderId="40" xfId="0" applyFont="1" applyFill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0" fillId="0" borderId="22" xfId="0" applyNumberFormat="1" applyFont="1" applyFill="1" applyBorder="1" applyAlignment="1">
      <alignment vertical="center"/>
    </xf>
    <xf numFmtId="3" fontId="40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36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0" fontId="65" fillId="0" borderId="0" xfId="105" applyFont="1" applyAlignment="1">
      <alignment horizontal="right" vertical="center"/>
      <protection/>
    </xf>
    <xf numFmtId="0" fontId="35" fillId="0" borderId="0" xfId="105" applyFont="1" applyAlignment="1">
      <alignment horizontal="center" vertical="center"/>
      <protection/>
    </xf>
    <xf numFmtId="49" fontId="0" fillId="0" borderId="57" xfId="0" applyNumberFormat="1" applyFont="1" applyBorder="1" applyAlignment="1">
      <alignment horizontal="left"/>
    </xf>
    <xf numFmtId="0" fontId="13" fillId="0" borderId="44" xfId="104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53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10" fontId="34" fillId="0" borderId="0" xfId="105" applyNumberFormat="1" applyFont="1" applyAlignment="1">
      <alignment horizontal="center" vertical="center"/>
      <protection/>
    </xf>
    <xf numFmtId="0" fontId="34" fillId="0" borderId="21" xfId="105" applyFont="1" applyBorder="1" applyAlignment="1">
      <alignment horizontal="center" vertical="center"/>
      <protection/>
    </xf>
    <xf numFmtId="10" fontId="34" fillId="0" borderId="33" xfId="105" applyNumberFormat="1" applyFont="1" applyBorder="1" applyAlignment="1">
      <alignment horizontal="center" vertical="center"/>
      <protection/>
    </xf>
    <xf numFmtId="0" fontId="34" fillId="0" borderId="34" xfId="105" applyFont="1" applyBorder="1" applyAlignment="1">
      <alignment horizontal="center" vertical="center"/>
      <protection/>
    </xf>
    <xf numFmtId="10" fontId="34" fillId="0" borderId="60" xfId="105" applyNumberFormat="1" applyFont="1" applyBorder="1" applyAlignment="1">
      <alignment horizontal="center" vertical="center"/>
      <protection/>
    </xf>
    <xf numFmtId="0" fontId="34" fillId="0" borderId="31" xfId="105" applyFont="1" applyBorder="1" applyAlignment="1">
      <alignment horizontal="center" vertical="center"/>
      <protection/>
    </xf>
    <xf numFmtId="0" fontId="34" fillId="0" borderId="25" xfId="105" applyFont="1" applyBorder="1" applyAlignment="1">
      <alignment horizontal="center" vertical="center"/>
      <protection/>
    </xf>
    <xf numFmtId="0" fontId="34" fillId="0" borderId="36" xfId="105" applyFont="1" applyBorder="1" applyAlignment="1">
      <alignment horizontal="center" vertical="center"/>
      <protection/>
    </xf>
    <xf numFmtId="10" fontId="34" fillId="0" borderId="61" xfId="105" applyNumberFormat="1" applyFont="1" applyBorder="1" applyAlignment="1">
      <alignment horizontal="center" vertical="center"/>
      <protection/>
    </xf>
    <xf numFmtId="1" fontId="36" fillId="0" borderId="22" xfId="105" applyNumberFormat="1" applyFont="1" applyBorder="1" applyAlignment="1">
      <alignment horizontal="center" vertical="center"/>
      <protection/>
    </xf>
    <xf numFmtId="10" fontId="34" fillId="0" borderId="48" xfId="105" applyNumberFormat="1" applyFont="1" applyBorder="1" applyAlignment="1">
      <alignment horizontal="center" vertical="center"/>
      <protection/>
    </xf>
    <xf numFmtId="3" fontId="11" fillId="0" borderId="0" xfId="104" applyNumberFormat="1" applyFont="1">
      <alignment/>
      <protection/>
    </xf>
    <xf numFmtId="10" fontId="54" fillId="0" borderId="48" xfId="0" applyNumberFormat="1" applyFont="1" applyFill="1" applyBorder="1" applyAlignment="1" applyProtection="1">
      <alignment horizontal="right" vertical="center" wrapText="1" indent="1"/>
      <protection/>
    </xf>
    <xf numFmtId="3" fontId="42" fillId="0" borderId="67" xfId="104" applyNumberFormat="1" applyFont="1" applyFill="1" applyBorder="1" applyAlignment="1">
      <alignment horizontal="right"/>
      <protection/>
    </xf>
    <xf numFmtId="3" fontId="42" fillId="0" borderId="67" xfId="104" applyNumberFormat="1" applyFont="1" applyBorder="1" applyAlignment="1">
      <alignment horizontal="right"/>
      <protection/>
    </xf>
    <xf numFmtId="0" fontId="42" fillId="0" borderId="21" xfId="104" applyFont="1" applyBorder="1" applyAlignment="1">
      <alignment horizontal="right"/>
      <protection/>
    </xf>
    <xf numFmtId="3" fontId="42" fillId="0" borderId="21" xfId="104" applyNumberFormat="1" applyFont="1" applyBorder="1" applyAlignment="1">
      <alignment horizontal="right"/>
      <protection/>
    </xf>
    <xf numFmtId="3" fontId="42" fillId="0" borderId="21" xfId="104" applyNumberFormat="1" applyFont="1" applyFill="1" applyBorder="1" applyAlignment="1">
      <alignment horizontal="right"/>
      <protection/>
    </xf>
    <xf numFmtId="3" fontId="42" fillId="0" borderId="64" xfId="104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48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48" xfId="0" applyNumberFormat="1" applyFont="1" applyBorder="1" applyAlignment="1">
      <alignment vertical="center"/>
    </xf>
    <xf numFmtId="0" fontId="11" fillId="0" borderId="41" xfId="104" applyFont="1" applyBorder="1" applyAlignment="1">
      <alignment vertical="center" wrapText="1"/>
      <protection/>
    </xf>
    <xf numFmtId="0" fontId="11" fillId="0" borderId="40" xfId="104" applyFont="1" applyBorder="1" applyAlignment="1">
      <alignment vertical="center" wrapText="1"/>
      <protection/>
    </xf>
    <xf numFmtId="0" fontId="11" fillId="0" borderId="40" xfId="104" applyFont="1" applyFill="1" applyBorder="1" applyAlignment="1">
      <alignment vertical="center" wrapText="1"/>
      <protection/>
    </xf>
    <xf numFmtId="0" fontId="11" fillId="0" borderId="43" xfId="104" applyFont="1" applyBorder="1" applyAlignment="1">
      <alignment vertical="center" wrapText="1"/>
      <protection/>
    </xf>
    <xf numFmtId="0" fontId="11" fillId="0" borderId="68" xfId="104" applyFont="1" applyBorder="1" applyAlignment="1">
      <alignment vertical="center" wrapText="1"/>
      <protection/>
    </xf>
    <xf numFmtId="0" fontId="13" fillId="0" borderId="44" xfId="104" applyFont="1" applyBorder="1" applyAlignment="1">
      <alignment vertical="center" wrapText="1"/>
      <protection/>
    </xf>
    <xf numFmtId="0" fontId="17" fillId="0" borderId="44" xfId="104" applyFont="1" applyBorder="1" applyAlignment="1">
      <alignment horizontal="center" vertical="center" wrapText="1"/>
      <protection/>
    </xf>
    <xf numFmtId="0" fontId="11" fillId="0" borderId="56" xfId="104" applyFont="1" applyBorder="1" applyAlignment="1">
      <alignment vertical="center" wrapText="1"/>
      <protection/>
    </xf>
    <xf numFmtId="0" fontId="13" fillId="0" borderId="44" xfId="104" applyFont="1" applyBorder="1" applyAlignment="1">
      <alignment vertical="center"/>
      <protection/>
    </xf>
    <xf numFmtId="0" fontId="11" fillId="0" borderId="41" xfId="104" applyFont="1" applyFill="1" applyBorder="1" applyAlignment="1">
      <alignment vertical="center" wrapText="1"/>
      <protection/>
    </xf>
    <xf numFmtId="0" fontId="11" fillId="0" borderId="43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39" fillId="0" borderId="44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3" xfId="104" applyFont="1" applyBorder="1" applyAlignment="1">
      <alignment horizontal="center" vertical="center"/>
      <protection/>
    </xf>
    <xf numFmtId="0" fontId="13" fillId="0" borderId="48" xfId="104" applyFont="1" applyBorder="1" applyAlignment="1">
      <alignment horizontal="center" vertical="center"/>
      <protection/>
    </xf>
    <xf numFmtId="3" fontId="11" fillId="0" borderId="34" xfId="104" applyNumberFormat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36" xfId="104" applyNumberFormat="1" applyBorder="1" applyAlignment="1">
      <alignment vertical="center"/>
      <protection/>
    </xf>
    <xf numFmtId="3" fontId="11" fillId="0" borderId="31" xfId="104" applyNumberFormat="1" applyBorder="1" applyAlignment="1">
      <alignment vertical="center"/>
      <protection/>
    </xf>
    <xf numFmtId="3" fontId="11" fillId="0" borderId="45" xfId="104" applyNumberFormat="1" applyBorder="1" applyAlignment="1">
      <alignment vertical="center"/>
      <protection/>
    </xf>
    <xf numFmtId="3" fontId="13" fillId="0" borderId="36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1" fillId="0" borderId="26" xfId="104" applyNumberFormat="1" applyFill="1" applyBorder="1" applyAlignment="1">
      <alignment vertical="center"/>
      <protection/>
    </xf>
    <xf numFmtId="3" fontId="11" fillId="0" borderId="34" xfId="104" applyNumberFormat="1" applyFont="1" applyBorder="1" applyAlignment="1">
      <alignment vertical="center"/>
      <protection/>
    </xf>
    <xf numFmtId="3" fontId="17" fillId="0" borderId="36" xfId="104" applyNumberFormat="1" applyFont="1" applyBorder="1" applyAlignment="1">
      <alignment vertical="center"/>
      <protection/>
    </xf>
    <xf numFmtId="3" fontId="17" fillId="0" borderId="45" xfId="104" applyNumberFormat="1" applyFont="1" applyBorder="1" applyAlignment="1">
      <alignment vertical="center"/>
      <protection/>
    </xf>
    <xf numFmtId="3" fontId="39" fillId="0" borderId="45" xfId="104" applyNumberFormat="1" applyFont="1" applyBorder="1" applyAlignment="1">
      <alignment vertical="center"/>
      <protection/>
    </xf>
    <xf numFmtId="3" fontId="11" fillId="0" borderId="26" xfId="104" applyNumberFormat="1" applyBorder="1" applyAlignment="1">
      <alignment vertical="center"/>
      <protection/>
    </xf>
    <xf numFmtId="3" fontId="11" fillId="0" borderId="21" xfId="104" applyNumberFormat="1" applyFill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39" fillId="0" borderId="22" xfId="104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36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31" xfId="0" applyNumberFormat="1" applyFont="1" applyFill="1" applyBorder="1" applyAlignment="1">
      <alignment horizontal="right" vertical="center" wrapText="1"/>
    </xf>
    <xf numFmtId="49" fontId="0" fillId="0" borderId="46" xfId="0" applyNumberFormat="1" applyFont="1" applyBorder="1" applyAlignment="1">
      <alignment horizontal="left"/>
    </xf>
    <xf numFmtId="0" fontId="16" fillId="49" borderId="63" xfId="104" applyFont="1" applyFill="1" applyBorder="1" applyAlignment="1">
      <alignment horizontal="center" vertical="center"/>
      <protection/>
    </xf>
    <xf numFmtId="49" fontId="7" fillId="0" borderId="69" xfId="0" applyNumberFormat="1" applyFont="1" applyBorder="1" applyAlignment="1">
      <alignment horizontal="left" vertical="center"/>
    </xf>
    <xf numFmtId="0" fontId="50" fillId="0" borderId="59" xfId="0" applyFont="1" applyFill="1" applyBorder="1" applyAlignment="1" applyProtection="1">
      <alignment horizontal="center" vertical="center" wrapText="1"/>
      <protection/>
    </xf>
    <xf numFmtId="0" fontId="50" fillId="0" borderId="58" xfId="0" applyFont="1" applyFill="1" applyBorder="1" applyAlignment="1" applyProtection="1">
      <alignment horizontal="center" vertical="center" wrapText="1"/>
      <protection/>
    </xf>
    <xf numFmtId="167" fontId="54" fillId="0" borderId="55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44" xfId="0" applyNumberFormat="1" applyFont="1" applyFill="1" applyBorder="1" applyAlignment="1" applyProtection="1">
      <alignment horizontal="right" vertical="center" wrapText="1" indent="1"/>
      <protection/>
    </xf>
    <xf numFmtId="10" fontId="46" fillId="0" borderId="56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36" xfId="0" applyNumberFormat="1" applyFont="1" applyFill="1" applyBorder="1" applyAlignment="1" applyProtection="1">
      <alignment horizontal="center" vertical="center" wrapText="1"/>
      <protection/>
    </xf>
    <xf numFmtId="167" fontId="54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63" xfId="107" applyFont="1" applyFill="1" applyBorder="1" applyAlignment="1" applyProtection="1">
      <alignment horizontal="left" vertical="center" wrapText="1" indent="1"/>
      <protection/>
    </xf>
    <xf numFmtId="0" fontId="46" fillId="0" borderId="70" xfId="107" applyFont="1" applyFill="1" applyBorder="1" applyAlignment="1" applyProtection="1">
      <alignment horizontal="left" vertical="center" wrapText="1" indent="1"/>
      <protection/>
    </xf>
    <xf numFmtId="0" fontId="46" fillId="0" borderId="67" xfId="107" applyFont="1" applyFill="1" applyBorder="1" applyAlignment="1" applyProtection="1">
      <alignment horizontal="left" vertical="center" wrapText="1" indent="1"/>
      <protection/>
    </xf>
    <xf numFmtId="0" fontId="54" fillId="0" borderId="63" xfId="107" applyFont="1" applyFill="1" applyBorder="1" applyAlignment="1" applyProtection="1">
      <alignment horizontal="left" vertical="center" wrapText="1" indent="1"/>
      <protection/>
    </xf>
    <xf numFmtId="0" fontId="54" fillId="0" borderId="44" xfId="107" applyFont="1" applyFill="1" applyBorder="1" applyAlignment="1" applyProtection="1">
      <alignment horizontal="left" vertical="center" wrapText="1" indent="1"/>
      <protection/>
    </xf>
    <xf numFmtId="0" fontId="50" fillId="0" borderId="63" xfId="0" applyFont="1" applyFill="1" applyBorder="1" applyAlignment="1" applyProtection="1">
      <alignment horizontal="left" vertical="center" wrapText="1" indent="1"/>
      <protection/>
    </xf>
    <xf numFmtId="0" fontId="29" fillId="0" borderId="44" xfId="0" applyFont="1" applyFill="1" applyBorder="1" applyAlignment="1" applyProtection="1">
      <alignment vertical="center" wrapText="1"/>
      <protection/>
    </xf>
    <xf numFmtId="167" fontId="4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50" fillId="0" borderId="53" xfId="0" applyFont="1" applyFill="1" applyBorder="1" applyAlignment="1" applyProtection="1">
      <alignment horizontal="center" vertical="center" wrapText="1"/>
      <protection/>
    </xf>
    <xf numFmtId="167" fontId="4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9" xfId="0" applyFill="1" applyBorder="1" applyAlignment="1" applyProtection="1">
      <alignment horizontal="right" vertical="center" wrapText="1" indent="1"/>
      <protection/>
    </xf>
    <xf numFmtId="0" fontId="0" fillId="0" borderId="37" xfId="0" applyFill="1" applyBorder="1" applyAlignment="1" applyProtection="1">
      <alignment horizontal="right" vertical="center" wrapText="1" indent="1"/>
      <protection/>
    </xf>
    <xf numFmtId="0" fontId="0" fillId="0" borderId="62" xfId="0" applyFill="1" applyBorder="1" applyAlignment="1">
      <alignment vertical="center" wrapText="1"/>
    </xf>
    <xf numFmtId="3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72" xfId="0" applyFont="1" applyFill="1" applyBorder="1" applyAlignment="1" applyProtection="1">
      <alignment horizontal="center" vertical="center" wrapText="1"/>
      <protection/>
    </xf>
    <xf numFmtId="0" fontId="54" fillId="0" borderId="63" xfId="0" applyFont="1" applyFill="1" applyBorder="1" applyAlignment="1" applyProtection="1">
      <alignment horizontal="left" vertical="center" wrapText="1" indent="1"/>
      <protection/>
    </xf>
    <xf numFmtId="0" fontId="46" fillId="0" borderId="73" xfId="107" applyFont="1" applyFill="1" applyBorder="1" applyAlignment="1" applyProtection="1">
      <alignment horizontal="left" vertical="center" wrapText="1" indent="1"/>
      <protection/>
    </xf>
    <xf numFmtId="0" fontId="46" fillId="0" borderId="74" xfId="107" applyFont="1" applyFill="1" applyBorder="1" applyAlignment="1" applyProtection="1">
      <alignment horizontal="left" vertical="center" wrapText="1" indent="1"/>
      <protection/>
    </xf>
    <xf numFmtId="0" fontId="54" fillId="0" borderId="72" xfId="107" applyFont="1" applyFill="1" applyBorder="1" applyAlignment="1" applyProtection="1">
      <alignment horizontal="left" vertical="center" wrapText="1" indent="1"/>
      <protection/>
    </xf>
    <xf numFmtId="0" fontId="46" fillId="0" borderId="75" xfId="107" applyFont="1" applyFill="1" applyBorder="1" applyAlignment="1" applyProtection="1">
      <alignment horizontal="left" vertical="center" wrapText="1" indent="1"/>
      <protection/>
    </xf>
    <xf numFmtId="0" fontId="51" fillId="0" borderId="44" xfId="0" applyFont="1" applyBorder="1" applyAlignment="1" applyProtection="1">
      <alignment horizontal="left" wrapText="1" indent="1"/>
      <protection/>
    </xf>
    <xf numFmtId="10" fontId="46" fillId="0" borderId="40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37" xfId="0" applyNumberFormat="1" applyFont="1" applyFill="1" applyBorder="1" applyAlignment="1" applyProtection="1">
      <alignment horizontal="center" vertical="center" wrapText="1"/>
      <protection/>
    </xf>
    <xf numFmtId="10" fontId="46" fillId="0" borderId="33" xfId="0" applyNumberFormat="1" applyFont="1" applyFill="1" applyBorder="1" applyAlignment="1" applyProtection="1">
      <alignment horizontal="right" vertical="center" wrapText="1" indent="1"/>
      <protection/>
    </xf>
    <xf numFmtId="167" fontId="5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right" vertical="center" wrapText="1" indent="1"/>
      <protection/>
    </xf>
    <xf numFmtId="0" fontId="0" fillId="0" borderId="37" xfId="0" applyFont="1" applyFill="1" applyBorder="1" applyAlignment="1" applyProtection="1">
      <alignment horizontal="right" vertical="center" wrapText="1" indent="1"/>
      <protection/>
    </xf>
    <xf numFmtId="0" fontId="0" fillId="0" borderId="62" xfId="0" applyFont="1" applyFill="1" applyBorder="1" applyAlignment="1" applyProtection="1">
      <alignment horizontal="right" vertical="center" wrapText="1" indent="1"/>
      <protection/>
    </xf>
    <xf numFmtId="0" fontId="29" fillId="0" borderId="55" xfId="0" applyFont="1" applyFill="1" applyBorder="1" applyAlignment="1">
      <alignment vertical="center"/>
    </xf>
    <xf numFmtId="10" fontId="54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76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54" fillId="0" borderId="7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8" xfId="0" applyFont="1" applyFill="1" applyBorder="1" applyAlignment="1" applyProtection="1">
      <alignment horizontal="right" vertical="center" wrapText="1" indent="1"/>
      <protection/>
    </xf>
    <xf numFmtId="3" fontId="29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47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4" fillId="0" borderId="48" xfId="0" applyNumberFormat="1" applyFont="1" applyFill="1" applyBorder="1" applyAlignment="1" applyProtection="1">
      <alignment horizontal="right" vertical="center" wrapText="1" indent="1"/>
      <protection/>
    </xf>
    <xf numFmtId="49" fontId="4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49" fontId="4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48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2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31" xfId="105" applyFont="1" applyBorder="1" applyAlignment="1">
      <alignment horizontal="center" vertical="center" wrapText="1"/>
      <protection/>
    </xf>
    <xf numFmtId="2" fontId="38" fillId="0" borderId="21" xfId="105" applyNumberFormat="1" applyFont="1" applyFill="1" applyBorder="1" applyAlignment="1">
      <alignment horizontal="center" vertical="center" wrapText="1"/>
      <protection/>
    </xf>
    <xf numFmtId="2" fontId="38" fillId="0" borderId="31" xfId="105" applyNumberFormat="1" applyFont="1" applyFill="1" applyBorder="1" applyAlignment="1">
      <alignment horizontal="center" vertical="center" wrapText="1"/>
      <protection/>
    </xf>
    <xf numFmtId="2" fontId="36" fillId="0" borderId="45" xfId="105" applyNumberFormat="1" applyFont="1" applyBorder="1" applyAlignment="1">
      <alignment horizontal="center" vertical="center"/>
      <protection/>
    </xf>
    <xf numFmtId="0" fontId="16" fillId="49" borderId="79" xfId="104" applyFont="1" applyFill="1" applyBorder="1" applyAlignment="1">
      <alignment horizontal="center" vertical="center"/>
      <protection/>
    </xf>
    <xf numFmtId="0" fontId="14" fillId="0" borderId="67" xfId="0" applyFont="1" applyFill="1" applyBorder="1" applyAlignment="1">
      <alignment horizontal="center" vertical="center"/>
    </xf>
    <xf numFmtId="0" fontId="14" fillId="0" borderId="67" xfId="104" applyFont="1" applyBorder="1" applyAlignment="1">
      <alignment horizontal="center" vertical="center"/>
      <protection/>
    </xf>
    <xf numFmtId="0" fontId="16" fillId="0" borderId="63" xfId="104" applyFont="1" applyBorder="1" applyAlignment="1">
      <alignment horizontal="center" vertical="center"/>
      <protection/>
    </xf>
    <xf numFmtId="0" fontId="16" fillId="49" borderId="69" xfId="104" applyFont="1" applyFill="1" applyBorder="1" applyAlignment="1">
      <alignment horizontal="center" vertical="center"/>
      <protection/>
    </xf>
    <xf numFmtId="0" fontId="14" fillId="0" borderId="56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3" fontId="15" fillId="0" borderId="21" xfId="104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4" applyNumberFormat="1" applyFont="1" applyFill="1" applyBorder="1" applyAlignment="1">
      <alignment horizontal="right" vertical="center"/>
      <protection/>
    </xf>
    <xf numFmtId="3" fontId="15" fillId="0" borderId="21" xfId="104" applyNumberFormat="1" applyFont="1" applyFill="1" applyBorder="1" applyAlignment="1">
      <alignment horizontal="right" vertical="center"/>
      <protection/>
    </xf>
    <xf numFmtId="3" fontId="12" fillId="0" borderId="22" xfId="104" applyNumberFormat="1" applyFont="1" applyFill="1" applyBorder="1" applyAlignment="1">
      <alignment horizontal="right" vertical="center"/>
      <protection/>
    </xf>
    <xf numFmtId="10" fontId="15" fillId="0" borderId="33" xfId="104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4" applyNumberFormat="1" applyFont="1" applyFill="1" applyBorder="1" applyAlignment="1">
      <alignment vertical="center"/>
      <protection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34" xfId="0" applyNumberFormat="1" applyFont="1" applyFill="1" applyBorder="1" applyAlignment="1">
      <alignment horizontal="right" vertical="center"/>
    </xf>
    <xf numFmtId="3" fontId="12" fillId="0" borderId="22" xfId="104" applyNumberFormat="1" applyFont="1" applyBorder="1" applyAlignment="1">
      <alignment horizontal="right" vertical="center"/>
      <protection/>
    </xf>
    <xf numFmtId="3" fontId="15" fillId="0" borderId="26" xfId="104" applyNumberFormat="1" applyFont="1" applyBorder="1" applyAlignment="1">
      <alignment vertical="center"/>
      <protection/>
    </xf>
    <xf numFmtId="3" fontId="15" fillId="0" borderId="21" xfId="104" applyNumberFormat="1" applyFont="1" applyBorder="1" applyAlignment="1">
      <alignment vertical="center"/>
      <protection/>
    </xf>
    <xf numFmtId="0" fontId="11" fillId="0" borderId="57" xfId="104" applyFont="1" applyBorder="1">
      <alignment/>
      <protection/>
    </xf>
    <xf numFmtId="0" fontId="11" fillId="0" borderId="57" xfId="104" applyFont="1" applyFill="1" applyBorder="1">
      <alignment/>
      <protection/>
    </xf>
    <xf numFmtId="0" fontId="12" fillId="1" borderId="29" xfId="104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left" wrapText="1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10" fontId="2" fillId="0" borderId="48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71" fillId="0" borderId="0" xfId="101" applyFont="1" applyFill="1" applyBorder="1" applyAlignment="1" applyProtection="1">
      <alignment horizontal="center" vertical="center"/>
      <protection/>
    </xf>
    <xf numFmtId="0" fontId="51" fillId="0" borderId="20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67" fillId="0" borderId="21" xfId="101" applyFont="1" applyBorder="1">
      <alignment/>
      <protection/>
    </xf>
    <xf numFmtId="0" fontId="59" fillId="0" borderId="0" xfId="101" applyFont="1" applyFill="1" applyAlignment="1">
      <alignment vertical="center"/>
      <protection/>
    </xf>
    <xf numFmtId="0" fontId="1" fillId="0" borderId="21" xfId="101" applyBorder="1">
      <alignment/>
      <protection/>
    </xf>
    <xf numFmtId="0" fontId="1" fillId="0" borderId="21" xfId="101" applyFont="1" applyBorder="1">
      <alignment/>
      <protection/>
    </xf>
    <xf numFmtId="0" fontId="67" fillId="0" borderId="30" xfId="101" applyFont="1" applyBorder="1">
      <alignment/>
      <protection/>
    </xf>
    <xf numFmtId="0" fontId="67" fillId="0" borderId="42" xfId="101" applyFont="1" applyBorder="1">
      <alignment/>
      <protection/>
    </xf>
    <xf numFmtId="0" fontId="67" fillId="0" borderId="20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67" fillId="0" borderId="28" xfId="101" applyFont="1" applyBorder="1">
      <alignment/>
      <protection/>
    </xf>
    <xf numFmtId="0" fontId="67" fillId="0" borderId="20" xfId="101" applyFont="1" applyFill="1" applyBorder="1" applyAlignment="1">
      <alignment vertical="center"/>
      <protection/>
    </xf>
    <xf numFmtId="0" fontId="67" fillId="0" borderId="57" xfId="101" applyFont="1" applyFill="1" applyBorder="1">
      <alignment/>
      <protection/>
    </xf>
    <xf numFmtId="0" fontId="67" fillId="0" borderId="0" xfId="101" applyFont="1" applyFill="1">
      <alignment/>
      <protection/>
    </xf>
    <xf numFmtId="0" fontId="67" fillId="0" borderId="0" xfId="101" applyFont="1" applyFill="1" applyAlignment="1">
      <alignment vertical="center"/>
      <protection/>
    </xf>
    <xf numFmtId="0" fontId="67" fillId="0" borderId="20" xfId="101" applyFont="1" applyFill="1" applyBorder="1">
      <alignment/>
      <protection/>
    </xf>
    <xf numFmtId="0" fontId="72" fillId="0" borderId="46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51" fillId="0" borderId="23" xfId="101" applyFont="1" applyFill="1" applyBorder="1" applyAlignment="1" applyProtection="1">
      <alignment horizontal="center" vertical="center" wrapText="1"/>
      <protection/>
    </xf>
    <xf numFmtId="3" fontId="67" fillId="0" borderId="29" xfId="101" applyNumberFormat="1" applyFont="1" applyBorder="1" applyAlignment="1">
      <alignment horizontal="right"/>
      <protection/>
    </xf>
    <xf numFmtId="3" fontId="1" fillId="0" borderId="32" xfId="101" applyNumberFormat="1" applyFont="1" applyBorder="1" applyAlignment="1">
      <alignment horizontal="right"/>
      <protection/>
    </xf>
    <xf numFmtId="3" fontId="67" fillId="0" borderId="32" xfId="101" applyNumberFormat="1" applyFont="1" applyBorder="1" applyAlignment="1">
      <alignment horizontal="right"/>
      <protection/>
    </xf>
    <xf numFmtId="3" fontId="67" fillId="0" borderId="23" xfId="101" applyNumberFormat="1" applyFont="1" applyBorder="1" applyAlignment="1">
      <alignment horizontal="right" vertical="center"/>
      <protection/>
    </xf>
    <xf numFmtId="3" fontId="67" fillId="0" borderId="23" xfId="101" applyNumberFormat="1" applyFont="1" applyFill="1" applyBorder="1" applyAlignment="1">
      <alignment vertical="center"/>
      <protection/>
    </xf>
    <xf numFmtId="3" fontId="67" fillId="0" borderId="29" xfId="101" applyNumberFormat="1" applyFont="1" applyFill="1" applyBorder="1">
      <alignment/>
      <protection/>
    </xf>
    <xf numFmtId="3" fontId="1" fillId="0" borderId="32" xfId="101" applyNumberFormat="1" applyFont="1" applyFill="1" applyBorder="1">
      <alignment/>
      <protection/>
    </xf>
    <xf numFmtId="3" fontId="67" fillId="0" borderId="23" xfId="101" applyNumberFormat="1" applyFont="1" applyFill="1" applyBorder="1">
      <alignment/>
      <protection/>
    </xf>
    <xf numFmtId="3" fontId="67" fillId="0" borderId="32" xfId="101" applyNumberFormat="1" applyFont="1" applyBorder="1">
      <alignment/>
      <protection/>
    </xf>
    <xf numFmtId="3" fontId="67" fillId="0" borderId="35" xfId="101" applyNumberFormat="1" applyFont="1" applyBorder="1">
      <alignment/>
      <protection/>
    </xf>
    <xf numFmtId="3" fontId="72" fillId="0" borderId="24" xfId="101" applyNumberFormat="1" applyFont="1" applyBorder="1" applyAlignment="1">
      <alignment vertical="center"/>
      <protection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49" fontId="46" fillId="0" borderId="37" xfId="107" applyNumberFormat="1" applyFont="1" applyFill="1" applyBorder="1" applyAlignment="1" applyProtection="1">
      <alignment horizontal="left" vertical="center" wrapText="1" indent="1"/>
      <protection/>
    </xf>
    <xf numFmtId="167" fontId="4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80" xfId="0" applyNumberFormat="1" applyFont="1" applyBorder="1" applyAlignment="1">
      <alignment horizontal="left"/>
    </xf>
    <xf numFmtId="49" fontId="7" fillId="0" borderId="68" xfId="0" applyNumberFormat="1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13" fillId="0" borderId="19" xfId="104" applyFont="1" applyBorder="1" applyAlignment="1">
      <alignment vertical="center" wrapText="1"/>
      <protection/>
    </xf>
    <xf numFmtId="0" fontId="0" fillId="0" borderId="32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49" fontId="7" fillId="0" borderId="46" xfId="0" applyNumberFormat="1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left" vertical="center"/>
    </xf>
    <xf numFmtId="3" fontId="7" fillId="0" borderId="31" xfId="0" applyNumberFormat="1" applyFont="1" applyFill="1" applyBorder="1" applyAlignment="1">
      <alignment vertical="center"/>
    </xf>
    <xf numFmtId="0" fontId="67" fillId="0" borderId="21" xfId="101" applyFont="1" applyFill="1" applyBorder="1">
      <alignment/>
      <protection/>
    </xf>
    <xf numFmtId="3" fontId="67" fillId="0" borderId="32" xfId="101" applyNumberFormat="1" applyFont="1" applyFill="1" applyBorder="1">
      <alignment/>
      <protection/>
    </xf>
    <xf numFmtId="0" fontId="1" fillId="0" borderId="30" xfId="101" applyFont="1" applyFill="1" applyBorder="1">
      <alignment/>
      <protection/>
    </xf>
    <xf numFmtId="0" fontId="67" fillId="0" borderId="46" xfId="101" applyFont="1" applyFill="1" applyBorder="1">
      <alignment/>
      <protection/>
    </xf>
    <xf numFmtId="3" fontId="67" fillId="0" borderId="24" xfId="101" applyNumberFormat="1" applyFont="1" applyFill="1" applyBorder="1">
      <alignment/>
      <protection/>
    </xf>
    <xf numFmtId="3" fontId="67" fillId="0" borderId="24" xfId="101" applyNumberFormat="1" applyFont="1" applyBorder="1" applyAlignment="1">
      <alignment horizontal="right"/>
      <protection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center"/>
    </xf>
    <xf numFmtId="0" fontId="15" fillId="0" borderId="21" xfId="104" applyFont="1" applyFill="1" applyBorder="1" applyAlignment="1">
      <alignment horizontal="right" wrapText="1"/>
      <protection/>
    </xf>
    <xf numFmtId="0" fontId="73" fillId="0" borderId="0" xfId="104" applyFont="1" applyAlignment="1">
      <alignment horizontal="right"/>
      <protection/>
    </xf>
    <xf numFmtId="0" fontId="74" fillId="0" borderId="0" xfId="104" applyFont="1" applyAlignment="1">
      <alignment horizontal="center"/>
      <protection/>
    </xf>
    <xf numFmtId="0" fontId="75" fillId="0" borderId="0" xfId="104" applyFont="1" applyAlignment="1">
      <alignment horizontal="center"/>
      <protection/>
    </xf>
    <xf numFmtId="0" fontId="20" fillId="0" borderId="0" xfId="104" applyFont="1" applyAlignment="1">
      <alignment horizontal="center"/>
      <protection/>
    </xf>
    <xf numFmtId="0" fontId="20" fillId="0" borderId="0" xfId="106">
      <alignment/>
      <protection/>
    </xf>
    <xf numFmtId="0" fontId="73" fillId="0" borderId="0" xfId="104" applyFont="1">
      <alignment/>
      <protection/>
    </xf>
    <xf numFmtId="3" fontId="11" fillId="0" borderId="0" xfId="104" applyNumberFormat="1">
      <alignment/>
      <protection/>
    </xf>
    <xf numFmtId="0" fontId="13" fillId="0" borderId="22" xfId="104" applyFont="1" applyBorder="1" applyAlignment="1">
      <alignment horizontal="center" vertical="center" wrapText="1"/>
      <protection/>
    </xf>
    <xf numFmtId="0" fontId="11" fillId="0" borderId="57" xfId="104" applyBorder="1" applyAlignment="1">
      <alignment vertical="center" wrapText="1"/>
      <protection/>
    </xf>
    <xf numFmtId="0" fontId="11" fillId="0" borderId="0" xfId="104" applyAlignment="1">
      <alignment vertical="center" wrapText="1"/>
      <protection/>
    </xf>
    <xf numFmtId="0" fontId="13" fillId="0" borderId="49" xfId="104" applyFont="1" applyBorder="1" applyAlignment="1">
      <alignment horizontal="center" vertical="center" wrapText="1"/>
      <protection/>
    </xf>
    <xf numFmtId="166" fontId="76" fillId="0" borderId="69" xfId="106" applyNumberFormat="1" applyFont="1" applyBorder="1" applyAlignment="1">
      <alignment horizontal="center" vertical="center" wrapText="1"/>
      <protection/>
    </xf>
    <xf numFmtId="3" fontId="76" fillId="0" borderId="53" xfId="106" applyNumberFormat="1" applyFont="1" applyBorder="1" applyAlignment="1">
      <alignment horizontal="center" vertical="center" wrapText="1"/>
      <protection/>
    </xf>
    <xf numFmtId="3" fontId="76" fillId="0" borderId="47" xfId="106" applyNumberFormat="1" applyFont="1" applyBorder="1" applyAlignment="1">
      <alignment horizontal="center" vertical="center" wrapText="1"/>
      <protection/>
    </xf>
    <xf numFmtId="3" fontId="76" fillId="0" borderId="58" xfId="106" applyNumberFormat="1" applyFont="1" applyBorder="1" applyAlignment="1">
      <alignment horizontal="center" vertical="center" wrapText="1"/>
      <protection/>
    </xf>
    <xf numFmtId="3" fontId="78" fillId="0" borderId="26" xfId="106" applyNumberFormat="1" applyFont="1" applyFill="1" applyBorder="1" applyAlignment="1">
      <alignment vertical="top"/>
      <protection/>
    </xf>
    <xf numFmtId="3" fontId="78" fillId="0" borderId="27" xfId="106" applyNumberFormat="1" applyFont="1" applyFill="1" applyBorder="1" applyAlignment="1">
      <alignment vertical="top"/>
      <protection/>
    </xf>
    <xf numFmtId="10" fontId="78" fillId="0" borderId="50" xfId="106" applyNumberFormat="1" applyFont="1" applyFill="1" applyBorder="1" applyAlignment="1">
      <alignment vertical="top"/>
      <protection/>
    </xf>
    <xf numFmtId="0" fontId="77" fillId="0" borderId="40" xfId="106" applyFont="1" applyFill="1" applyBorder="1" applyAlignment="1">
      <alignment horizontal="left"/>
      <protection/>
    </xf>
    <xf numFmtId="3" fontId="78" fillId="0" borderId="21" xfId="106" applyNumberFormat="1" applyFont="1" applyFill="1" applyBorder="1" applyAlignment="1">
      <alignment vertical="top"/>
      <protection/>
    </xf>
    <xf numFmtId="3" fontId="78" fillId="0" borderId="32" xfId="106" applyNumberFormat="1" applyFont="1" applyFill="1" applyBorder="1" applyAlignment="1">
      <alignment vertical="top"/>
      <protection/>
    </xf>
    <xf numFmtId="10" fontId="78" fillId="0" borderId="33" xfId="106" applyNumberFormat="1" applyFont="1" applyFill="1" applyBorder="1" applyAlignment="1">
      <alignment vertical="top"/>
      <protection/>
    </xf>
    <xf numFmtId="3" fontId="78" fillId="0" borderId="21" xfId="106" applyNumberFormat="1" applyFont="1" applyFill="1" applyBorder="1">
      <alignment/>
      <protection/>
    </xf>
    <xf numFmtId="3" fontId="78" fillId="0" borderId="32" xfId="106" applyNumberFormat="1" applyFont="1" applyFill="1" applyBorder="1">
      <alignment/>
      <protection/>
    </xf>
    <xf numFmtId="0" fontId="11" fillId="0" borderId="31" xfId="104" applyFont="1" applyBorder="1" applyAlignment="1">
      <alignment horizontal="center" vertical="center"/>
      <protection/>
    </xf>
    <xf numFmtId="3" fontId="78" fillId="0" borderId="31" xfId="106" applyNumberFormat="1" applyFont="1" applyFill="1" applyBorder="1">
      <alignment/>
      <protection/>
    </xf>
    <xf numFmtId="3" fontId="78" fillId="0" borderId="24" xfId="106" applyNumberFormat="1" applyFont="1" applyFill="1" applyBorder="1">
      <alignment/>
      <protection/>
    </xf>
    <xf numFmtId="0" fontId="11" fillId="0" borderId="22" xfId="104" applyFont="1" applyBorder="1" applyAlignment="1">
      <alignment horizontal="center" vertical="center"/>
      <protection/>
    </xf>
    <xf numFmtId="3" fontId="79" fillId="0" borderId="22" xfId="106" applyNumberFormat="1" applyFont="1" applyBorder="1" applyAlignment="1">
      <alignment vertical="center"/>
      <protection/>
    </xf>
    <xf numFmtId="3" fontId="79" fillId="0" borderId="23" xfId="106" applyNumberFormat="1" applyFont="1" applyBorder="1" applyAlignment="1">
      <alignment vertical="center"/>
      <protection/>
    </xf>
    <xf numFmtId="3" fontId="17" fillId="0" borderId="0" xfId="104" applyNumberFormat="1" applyFont="1" applyAlignment="1">
      <alignment horizontal="right" vertical="center"/>
      <protection/>
    </xf>
    <xf numFmtId="0" fontId="81" fillId="0" borderId="0" xfId="104" applyFont="1" applyAlignment="1">
      <alignment vertical="center"/>
      <protection/>
    </xf>
    <xf numFmtId="0" fontId="82" fillId="0" borderId="57" xfId="104" applyFont="1" applyBorder="1" applyAlignment="1">
      <alignment vertical="center"/>
      <protection/>
    </xf>
    <xf numFmtId="0" fontId="24" fillId="50" borderId="37" xfId="104" applyFont="1" applyFill="1" applyBorder="1" applyAlignment="1">
      <alignment horizontal="center" vertical="center" wrapText="1"/>
      <protection/>
    </xf>
    <xf numFmtId="0" fontId="11" fillId="0" borderId="57" xfId="104" applyBorder="1" applyAlignment="1">
      <alignment vertical="center"/>
      <protection/>
    </xf>
    <xf numFmtId="0" fontId="24" fillId="50" borderId="42" xfId="104" applyFont="1" applyFill="1" applyBorder="1" applyAlignment="1">
      <alignment horizontal="center" vertical="center" wrapText="1"/>
      <protection/>
    </xf>
    <xf numFmtId="3" fontId="24" fillId="50" borderId="81" xfId="104" applyNumberFormat="1" applyFont="1" applyFill="1" applyBorder="1" applyAlignment="1">
      <alignment horizontal="center" vertical="center" wrapText="1"/>
      <protection/>
    </xf>
    <xf numFmtId="3" fontId="24" fillId="50" borderId="82" xfId="104" applyNumberFormat="1" applyFont="1" applyFill="1" applyBorder="1" applyAlignment="1">
      <alignment horizontal="center" vertical="center" wrapText="1"/>
      <protection/>
    </xf>
    <xf numFmtId="3" fontId="24" fillId="50" borderId="83" xfId="104" applyNumberFormat="1" applyFont="1" applyFill="1" applyBorder="1" applyAlignment="1">
      <alignment horizontal="center" vertical="center" wrapText="1"/>
      <protection/>
    </xf>
    <xf numFmtId="0" fontId="77" fillId="0" borderId="30" xfId="0" applyFont="1" applyBorder="1" applyAlignment="1">
      <alignment vertical="center" wrapText="1"/>
    </xf>
    <xf numFmtId="0" fontId="77" fillId="0" borderId="32" xfId="0" applyFont="1" applyBorder="1" applyAlignment="1">
      <alignment horizontal="center" vertical="center" wrapText="1"/>
    </xf>
    <xf numFmtId="3" fontId="33" fillId="0" borderId="32" xfId="104" applyNumberFormat="1" applyFont="1" applyBorder="1" applyAlignment="1">
      <alignment horizontal="right" vertical="center" wrapText="1"/>
      <protection/>
    </xf>
    <xf numFmtId="3" fontId="33" fillId="0" borderId="29" xfId="104" applyNumberFormat="1" applyFont="1" applyBorder="1" applyAlignment="1">
      <alignment horizontal="right" vertical="center" wrapText="1"/>
      <protection/>
    </xf>
    <xf numFmtId="10" fontId="33" fillId="0" borderId="29" xfId="104" applyNumberFormat="1" applyFont="1" applyBorder="1" applyAlignment="1">
      <alignment horizontal="right" vertical="center" wrapText="1"/>
      <protection/>
    </xf>
    <xf numFmtId="10" fontId="33" fillId="0" borderId="32" xfId="104" applyNumberFormat="1" applyFont="1" applyBorder="1" applyAlignment="1">
      <alignment horizontal="right" vertical="center" wrapText="1"/>
      <protection/>
    </xf>
    <xf numFmtId="10" fontId="33" fillId="0" borderId="33" xfId="104" applyNumberFormat="1" applyFont="1" applyBorder="1" applyAlignment="1">
      <alignment horizontal="right" vertical="center" wrapText="1"/>
      <protection/>
    </xf>
    <xf numFmtId="3" fontId="33" fillId="0" borderId="32" xfId="104" applyNumberFormat="1" applyFont="1" applyFill="1" applyBorder="1" applyAlignment="1">
      <alignment vertical="center"/>
      <protection/>
    </xf>
    <xf numFmtId="3" fontId="24" fillId="50" borderId="84" xfId="104" applyNumberFormat="1" applyFont="1" applyFill="1" applyBorder="1" applyAlignment="1">
      <alignment horizontal="center" vertical="center" wrapText="1"/>
      <protection/>
    </xf>
    <xf numFmtId="3" fontId="24" fillId="50" borderId="85" xfId="104" applyNumberFormat="1" applyFont="1" applyFill="1" applyBorder="1" applyAlignment="1">
      <alignment horizontal="center" vertical="center" wrapText="1"/>
      <protection/>
    </xf>
    <xf numFmtId="3" fontId="39" fillId="50" borderId="85" xfId="104" applyNumberFormat="1" applyFont="1" applyFill="1" applyBorder="1" applyAlignment="1">
      <alignment horizontal="right" vertical="center" wrapText="1"/>
      <protection/>
    </xf>
    <xf numFmtId="10" fontId="39" fillId="50" borderId="85" xfId="104" applyNumberFormat="1" applyFont="1" applyFill="1" applyBorder="1" applyAlignment="1">
      <alignment horizontal="right" vertical="center" wrapText="1"/>
      <protection/>
    </xf>
    <xf numFmtId="3" fontId="24" fillId="0" borderId="0" xfId="104" applyNumberFormat="1" applyFont="1" applyFill="1" applyBorder="1" applyAlignment="1">
      <alignment horizontal="center" vertical="center" wrapText="1"/>
      <protection/>
    </xf>
    <xf numFmtId="3" fontId="39" fillId="0" borderId="0" xfId="104" applyNumberFormat="1" applyFont="1" applyFill="1" applyBorder="1" applyAlignment="1">
      <alignment horizontal="right" vertical="center" wrapText="1"/>
      <protection/>
    </xf>
    <xf numFmtId="0" fontId="82" fillId="0" borderId="0" xfId="104" applyFont="1" applyAlignment="1">
      <alignment vertical="center"/>
      <protection/>
    </xf>
    <xf numFmtId="0" fontId="11" fillId="0" borderId="57" xfId="104" applyFill="1" applyBorder="1" applyAlignment="1">
      <alignment vertical="center"/>
      <protection/>
    </xf>
    <xf numFmtId="0" fontId="11" fillId="0" borderId="0" xfId="104" applyFill="1" applyAlignment="1">
      <alignment vertical="center"/>
      <protection/>
    </xf>
    <xf numFmtId="0" fontId="24" fillId="50" borderId="86" xfId="104" applyFont="1" applyFill="1" applyBorder="1" applyAlignment="1">
      <alignment horizontal="center" vertical="center" wrapText="1"/>
      <protection/>
    </xf>
    <xf numFmtId="0" fontId="24" fillId="50" borderId="82" xfId="104" applyFont="1" applyFill="1" applyBorder="1" applyAlignment="1">
      <alignment horizontal="center" vertical="center" wrapText="1"/>
      <protection/>
    </xf>
    <xf numFmtId="0" fontId="77" fillId="0" borderId="28" xfId="0" applyFont="1" applyFill="1" applyBorder="1" applyAlignment="1">
      <alignment vertical="center" wrapText="1"/>
    </xf>
    <xf numFmtId="0" fontId="77" fillId="0" borderId="29" xfId="0" applyFont="1" applyFill="1" applyBorder="1" applyAlignment="1">
      <alignment horizontal="center" vertical="center" wrapText="1"/>
    </xf>
    <xf numFmtId="3" fontId="33" fillId="0" borderId="29" xfId="104" applyNumberFormat="1" applyFont="1" applyFill="1" applyBorder="1" applyAlignment="1">
      <alignment horizontal="right" vertical="center" wrapText="1"/>
      <protection/>
    </xf>
    <xf numFmtId="3" fontId="33" fillId="0" borderId="32" xfId="104" applyNumberFormat="1" applyFont="1" applyFill="1" applyBorder="1" applyAlignment="1">
      <alignment horizontal="right" vertical="center" wrapText="1"/>
      <protection/>
    </xf>
    <xf numFmtId="0" fontId="77" fillId="0" borderId="30" xfId="0" applyFont="1" applyFill="1" applyBorder="1" applyAlignment="1">
      <alignment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0" borderId="87" xfId="0" applyFont="1" applyFill="1" applyBorder="1" applyAlignment="1">
      <alignment vertical="center" wrapText="1"/>
    </xf>
    <xf numFmtId="0" fontId="77" fillId="0" borderId="35" xfId="0" applyFont="1" applyFill="1" applyBorder="1" applyAlignment="1">
      <alignment horizontal="center" vertical="center" wrapText="1"/>
    </xf>
    <xf numFmtId="3" fontId="33" fillId="0" borderId="35" xfId="104" applyNumberFormat="1" applyFont="1" applyFill="1" applyBorder="1" applyAlignment="1">
      <alignment horizontal="right" vertical="center" wrapText="1"/>
      <protection/>
    </xf>
    <xf numFmtId="0" fontId="77" fillId="0" borderId="57" xfId="0" applyFont="1" applyFill="1" applyBorder="1" applyAlignment="1">
      <alignment vertical="center" wrapText="1"/>
    </xf>
    <xf numFmtId="0" fontId="77" fillId="0" borderId="37" xfId="0" applyFont="1" applyFill="1" applyBorder="1" applyAlignment="1">
      <alignment horizontal="center" vertical="center" wrapText="1"/>
    </xf>
    <xf numFmtId="3" fontId="33" fillId="0" borderId="37" xfId="104" applyNumberFormat="1" applyFont="1" applyFill="1" applyBorder="1" applyAlignment="1">
      <alignment horizontal="right" vertical="center" wrapText="1"/>
      <protection/>
    </xf>
    <xf numFmtId="10" fontId="11" fillId="0" borderId="0" xfId="104" applyNumberFormat="1" applyAlignment="1">
      <alignment vertical="center"/>
      <protection/>
    </xf>
    <xf numFmtId="0" fontId="30" fillId="0" borderId="0" xfId="107" applyFont="1" applyFill="1" applyAlignment="1">
      <alignment vertical="center"/>
      <protection/>
    </xf>
    <xf numFmtId="167" fontId="28" fillId="0" borderId="0" xfId="107" applyNumberFormat="1" applyFont="1" applyFill="1" applyBorder="1" applyAlignment="1" applyProtection="1">
      <alignment horizontal="centerContinuous"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47" fillId="0" borderId="26" xfId="107" applyFont="1" applyFill="1" applyBorder="1" applyAlignment="1" applyProtection="1">
      <alignment horizontal="center" vertical="center" wrapText="1"/>
      <protection/>
    </xf>
    <xf numFmtId="0" fontId="47" fillId="0" borderId="27" xfId="107" applyFont="1" applyFill="1" applyBorder="1" applyAlignment="1" applyProtection="1">
      <alignment horizontal="center" vertical="center" wrapText="1"/>
      <protection/>
    </xf>
    <xf numFmtId="0" fontId="47" fillId="0" borderId="50" xfId="107" applyFont="1" applyFill="1" applyBorder="1" applyAlignment="1" applyProtection="1">
      <alignment horizontal="center" vertical="center" wrapText="1"/>
      <protection/>
    </xf>
    <xf numFmtId="0" fontId="31" fillId="0" borderId="22" xfId="107" applyFont="1" applyFill="1" applyBorder="1" applyAlignment="1" applyProtection="1">
      <alignment horizontal="center" vertical="center"/>
      <protection/>
    </xf>
    <xf numFmtId="0" fontId="31" fillId="0" borderId="23" xfId="107" applyFont="1" applyFill="1" applyBorder="1" applyAlignment="1" applyProtection="1">
      <alignment horizontal="center" vertical="center"/>
      <protection/>
    </xf>
    <xf numFmtId="0" fontId="31" fillId="0" borderId="48" xfId="107" applyFont="1" applyFill="1" applyBorder="1" applyAlignment="1" applyProtection="1">
      <alignment horizontal="center" vertical="center"/>
      <protection/>
    </xf>
    <xf numFmtId="0" fontId="31" fillId="0" borderId="26" xfId="107" applyFont="1" applyFill="1" applyBorder="1" applyAlignment="1" applyProtection="1">
      <alignment horizontal="center" vertical="center"/>
      <protection/>
    </xf>
    <xf numFmtId="0" fontId="31" fillId="0" borderId="29" xfId="107" applyFont="1" applyFill="1" applyBorder="1" applyAlignment="1" applyProtection="1">
      <alignment vertical="center"/>
      <protection/>
    </xf>
    <xf numFmtId="168" fontId="31" fillId="0" borderId="50" xfId="68" applyNumberFormat="1" applyFont="1" applyFill="1" applyBorder="1" applyAlignment="1" applyProtection="1">
      <alignment vertical="center"/>
      <protection locked="0"/>
    </xf>
    <xf numFmtId="0" fontId="31" fillId="0" borderId="34" xfId="107" applyFont="1" applyFill="1" applyBorder="1" applyAlignment="1" applyProtection="1">
      <alignment horizontal="center" vertical="center"/>
      <protection/>
    </xf>
    <xf numFmtId="168" fontId="31" fillId="0" borderId="60" xfId="68" applyNumberFormat="1" applyFont="1" applyFill="1" applyBorder="1" applyAlignment="1" applyProtection="1">
      <alignment vertical="center"/>
      <protection locked="0"/>
    </xf>
    <xf numFmtId="0" fontId="31" fillId="0" borderId="21" xfId="107" applyFont="1" applyFill="1" applyBorder="1" applyAlignment="1" applyProtection="1">
      <alignment horizontal="center" vertical="center"/>
      <protection/>
    </xf>
    <xf numFmtId="0" fontId="78" fillId="0" borderId="32" xfId="0" applyFont="1" applyFill="1" applyBorder="1" applyAlignment="1">
      <alignment horizontal="justify" vertical="center" wrapText="1"/>
    </xf>
    <xf numFmtId="168" fontId="31" fillId="0" borderId="33" xfId="68" applyNumberFormat="1" applyFont="1" applyFill="1" applyBorder="1" applyAlignment="1" applyProtection="1">
      <alignment vertical="center"/>
      <protection locked="0"/>
    </xf>
    <xf numFmtId="0" fontId="78" fillId="0" borderId="32" xfId="0" applyFont="1" applyFill="1" applyBorder="1" applyAlignment="1">
      <alignment vertical="center" wrapText="1"/>
    </xf>
    <xf numFmtId="168" fontId="31" fillId="0" borderId="61" xfId="68" applyNumberFormat="1" applyFont="1" applyFill="1" applyBorder="1" applyAlignment="1" applyProtection="1">
      <alignment vertical="center"/>
      <protection locked="0"/>
    </xf>
    <xf numFmtId="168" fontId="47" fillId="0" borderId="48" xfId="68" applyNumberFormat="1" applyFont="1" applyFill="1" applyBorder="1" applyAlignment="1" applyProtection="1">
      <alignment vertical="center"/>
      <protection/>
    </xf>
    <xf numFmtId="0" fontId="46" fillId="0" borderId="0" xfId="107" applyFont="1" applyFill="1" applyBorder="1" applyAlignment="1">
      <alignment horizontal="justify" vertical="center" wrapText="1"/>
      <protection/>
    </xf>
    <xf numFmtId="10" fontId="31" fillId="0" borderId="33" xfId="68" applyNumberFormat="1" applyFont="1" applyFill="1" applyBorder="1" applyAlignment="1" applyProtection="1">
      <alignment vertical="center"/>
      <protection locked="0"/>
    </xf>
    <xf numFmtId="10" fontId="47" fillId="0" borderId="48" xfId="68" applyNumberFormat="1" applyFont="1" applyFill="1" applyBorder="1" applyAlignment="1" applyProtection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10" fontId="3" fillId="0" borderId="23" xfId="0" applyNumberFormat="1" applyFont="1" applyFill="1" applyBorder="1" applyAlignment="1">
      <alignment vertical="center"/>
    </xf>
    <xf numFmtId="10" fontId="7" fillId="0" borderId="29" xfId="0" applyNumberFormat="1" applyFont="1" applyFill="1" applyBorder="1" applyAlignment="1">
      <alignment vertical="center"/>
    </xf>
    <xf numFmtId="10" fontId="40" fillId="0" borderId="23" xfId="0" applyNumberFormat="1" applyFont="1" applyFill="1" applyBorder="1" applyAlignment="1">
      <alignment vertical="center"/>
    </xf>
    <xf numFmtId="10" fontId="7" fillId="0" borderId="35" xfId="0" applyNumberFormat="1" applyFont="1" applyBorder="1" applyAlignment="1">
      <alignment vertical="center"/>
    </xf>
    <xf numFmtId="10" fontId="7" fillId="0" borderId="33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10" fontId="5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0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48" xfId="0" applyNumberFormat="1" applyFont="1" applyFill="1" applyBorder="1" applyAlignment="1">
      <alignment horizontal="right" vertical="center" wrapText="1"/>
    </xf>
    <xf numFmtId="10" fontId="3" fillId="49" borderId="48" xfId="0" applyNumberFormat="1" applyFont="1" applyFill="1" applyBorder="1" applyAlignment="1">
      <alignment horizontal="right" vertical="center" wrapText="1"/>
    </xf>
    <xf numFmtId="10" fontId="7" fillId="49" borderId="50" xfId="0" applyNumberFormat="1" applyFont="1" applyFill="1" applyBorder="1" applyAlignment="1">
      <alignment horizontal="right" vertical="center" wrapText="1"/>
    </xf>
    <xf numFmtId="10" fontId="7" fillId="49" borderId="33" xfId="0" applyNumberFormat="1" applyFont="1" applyFill="1" applyBorder="1" applyAlignment="1">
      <alignment horizontal="right" vertical="center" wrapText="1"/>
    </xf>
    <xf numFmtId="10" fontId="7" fillId="0" borderId="33" xfId="0" applyNumberFormat="1" applyFont="1" applyFill="1" applyBorder="1" applyAlignment="1">
      <alignment horizontal="right" vertical="center" wrapText="1"/>
    </xf>
    <xf numFmtId="10" fontId="7" fillId="0" borderId="25" xfId="0" applyNumberFormat="1" applyFont="1" applyFill="1" applyBorder="1" applyAlignment="1">
      <alignment horizontal="right" vertical="center" wrapText="1"/>
    </xf>
    <xf numFmtId="10" fontId="7" fillId="0" borderId="60" xfId="0" applyNumberFormat="1" applyFont="1" applyFill="1" applyBorder="1" applyAlignment="1">
      <alignment horizontal="right" vertical="center" wrapText="1"/>
    </xf>
    <xf numFmtId="10" fontId="3" fillId="0" borderId="48" xfId="0" applyNumberFormat="1" applyFont="1" applyFill="1" applyBorder="1" applyAlignment="1">
      <alignment horizontal="right" vertical="center"/>
    </xf>
    <xf numFmtId="10" fontId="3" fillId="0" borderId="50" xfId="0" applyNumberFormat="1" applyFont="1" applyFill="1" applyBorder="1" applyAlignment="1">
      <alignment horizontal="right" vertical="center"/>
    </xf>
    <xf numFmtId="10" fontId="3" fillId="0" borderId="33" xfId="0" applyNumberFormat="1" applyFont="1" applyFill="1" applyBorder="1" applyAlignment="1">
      <alignment horizontal="right" vertical="center"/>
    </xf>
    <xf numFmtId="10" fontId="3" fillId="0" borderId="25" xfId="0" applyNumberFormat="1" applyFont="1" applyFill="1" applyBorder="1" applyAlignment="1">
      <alignment horizontal="right" vertical="center"/>
    </xf>
    <xf numFmtId="10" fontId="7" fillId="0" borderId="60" xfId="0" applyNumberFormat="1" applyFont="1" applyFill="1" applyBorder="1" applyAlignment="1">
      <alignment horizontal="right" vertical="center"/>
    </xf>
    <xf numFmtId="10" fontId="3" fillId="0" borderId="33" xfId="0" applyNumberFormat="1" applyFont="1" applyFill="1" applyBorder="1" applyAlignment="1">
      <alignment vertical="center"/>
    </xf>
    <xf numFmtId="10" fontId="3" fillId="0" borderId="48" xfId="0" applyNumberFormat="1" applyFont="1" applyFill="1" applyBorder="1" applyAlignment="1">
      <alignment vertical="center"/>
    </xf>
    <xf numFmtId="10" fontId="3" fillId="0" borderId="60" xfId="0" applyNumberFormat="1" applyFont="1" applyFill="1" applyBorder="1" applyAlignment="1">
      <alignment vertical="center"/>
    </xf>
    <xf numFmtId="10" fontId="7" fillId="0" borderId="61" xfId="0" applyNumberFormat="1" applyFont="1" applyFill="1" applyBorder="1" applyAlignment="1">
      <alignment vertical="center"/>
    </xf>
    <xf numFmtId="10" fontId="7" fillId="0" borderId="33" xfId="0" applyNumberFormat="1" applyFont="1" applyFill="1" applyBorder="1" applyAlignment="1">
      <alignment vertical="center"/>
    </xf>
    <xf numFmtId="10" fontId="3" fillId="0" borderId="48" xfId="0" applyNumberFormat="1" applyFont="1" applyBorder="1" applyAlignment="1">
      <alignment vertical="center"/>
    </xf>
    <xf numFmtId="10" fontId="3" fillId="0" borderId="54" xfId="0" applyNumberFormat="1" applyFont="1" applyFill="1" applyBorder="1" applyAlignment="1">
      <alignment horizontal="centerContinuous" vertical="center" wrapText="1"/>
    </xf>
    <xf numFmtId="10" fontId="7" fillId="0" borderId="60" xfId="0" applyNumberFormat="1" applyFont="1" applyFill="1" applyBorder="1" applyAlignment="1">
      <alignment vertical="center"/>
    </xf>
    <xf numFmtId="10" fontId="40" fillId="0" borderId="48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0" fontId="7" fillId="0" borderId="61" xfId="0" applyNumberFormat="1" applyFont="1" applyBorder="1" applyAlignment="1">
      <alignment vertical="center"/>
    </xf>
    <xf numFmtId="10" fontId="3" fillId="0" borderId="58" xfId="0" applyNumberFormat="1" applyFont="1" applyBorder="1" applyAlignment="1">
      <alignment vertical="center"/>
    </xf>
    <xf numFmtId="0" fontId="0" fillId="0" borderId="88" xfId="0" applyFill="1" applyBorder="1" applyAlignment="1" applyProtection="1">
      <alignment horizontal="right" vertical="center" wrapText="1" indent="1"/>
      <protection/>
    </xf>
    <xf numFmtId="10" fontId="4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54" xfId="0" applyFont="1" applyFill="1" applyBorder="1" applyAlignment="1" applyProtection="1">
      <alignment horizontal="center" vertical="center" wrapText="1"/>
      <protection/>
    </xf>
    <xf numFmtId="167" fontId="46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7" fontId="50" fillId="0" borderId="62" xfId="0" applyNumberFormat="1" applyFont="1" applyFill="1" applyBorder="1" applyAlignment="1" applyProtection="1">
      <alignment horizontal="center" vertical="center" wrapText="1"/>
      <protection/>
    </xf>
    <xf numFmtId="3" fontId="16" fillId="49" borderId="53" xfId="104" applyNumberFormat="1" applyFont="1" applyFill="1" applyBorder="1" applyAlignment="1">
      <alignment horizontal="center" vertical="center"/>
      <protection/>
    </xf>
    <xf numFmtId="3" fontId="16" fillId="49" borderId="47" xfId="104" applyNumberFormat="1" applyFont="1" applyFill="1" applyBorder="1" applyAlignment="1">
      <alignment horizontal="center" vertical="center" wrapText="1"/>
      <protection/>
    </xf>
    <xf numFmtId="3" fontId="16" fillId="49" borderId="47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3" fontId="12" fillId="0" borderId="23" xfId="104" applyNumberFormat="1" applyFont="1" applyFill="1" applyBorder="1" applyAlignment="1">
      <alignment horizontal="right" vertical="center"/>
      <protection/>
    </xf>
    <xf numFmtId="10" fontId="12" fillId="0" borderId="48" xfId="104" applyNumberFormat="1" applyFont="1" applyFill="1" applyBorder="1" applyAlignment="1">
      <alignment horizontal="right" vertical="center"/>
      <protection/>
    </xf>
    <xf numFmtId="3" fontId="15" fillId="0" borderId="32" xfId="104" applyNumberFormat="1" applyFont="1" applyFill="1" applyBorder="1" applyAlignment="1">
      <alignment vertical="center"/>
      <protection/>
    </xf>
    <xf numFmtId="3" fontId="12" fillId="0" borderId="23" xfId="104" applyNumberFormat="1" applyFont="1" applyBorder="1" applyAlignment="1">
      <alignment horizontal="right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6" fillId="1" borderId="44" xfId="104" applyFont="1" applyFill="1" applyBorder="1" applyAlignment="1">
      <alignment horizontal="center" vertical="center"/>
      <protection/>
    </xf>
    <xf numFmtId="0" fontId="0" fillId="0" borderId="73" xfId="104" applyFont="1" applyFill="1" applyBorder="1" applyAlignment="1">
      <alignment horizontal="center" vertical="center"/>
      <protection/>
    </xf>
    <xf numFmtId="0" fontId="2" fillId="0" borderId="41" xfId="104" applyFont="1" applyBorder="1" applyAlignment="1">
      <alignment horizontal="center" vertical="center"/>
      <protection/>
    </xf>
    <xf numFmtId="0" fontId="2" fillId="0" borderId="67" xfId="104" applyFont="1" applyBorder="1" applyAlignment="1">
      <alignment horizontal="center" vertical="center"/>
      <protection/>
    </xf>
    <xf numFmtId="0" fontId="0" fillId="0" borderId="67" xfId="104" applyFont="1" applyFill="1" applyBorder="1" applyAlignment="1">
      <alignment horizontal="center" vertical="center"/>
      <protection/>
    </xf>
    <xf numFmtId="0" fontId="6" fillId="0" borderId="63" xfId="104" applyFont="1" applyBorder="1" applyAlignment="1">
      <alignment vertical="center"/>
      <protection/>
    </xf>
    <xf numFmtId="0" fontId="6" fillId="1" borderId="22" xfId="104" applyFont="1" applyFill="1" applyBorder="1" applyAlignment="1">
      <alignment horizontal="center" vertical="center" wrapText="1"/>
      <protection/>
    </xf>
    <xf numFmtId="3" fontId="7" fillId="0" borderId="26" xfId="104" applyNumberFormat="1" applyFont="1" applyFill="1" applyBorder="1" applyAlignment="1">
      <alignment horizontal="right" vertical="center"/>
      <protection/>
    </xf>
    <xf numFmtId="3" fontId="7" fillId="0" borderId="34" xfId="104" applyNumberFormat="1" applyFont="1" applyBorder="1" applyAlignment="1">
      <alignment horizontal="right" vertical="center"/>
      <protection/>
    </xf>
    <xf numFmtId="3" fontId="7" fillId="0" borderId="21" xfId="104" applyNumberFormat="1" applyFont="1" applyBorder="1" applyAlignment="1">
      <alignment horizontal="right" vertical="center"/>
      <protection/>
    </xf>
    <xf numFmtId="3" fontId="7" fillId="0" borderId="21" xfId="104" applyNumberFormat="1" applyFont="1" applyFill="1" applyBorder="1" applyAlignment="1">
      <alignment horizontal="right" vertical="center"/>
      <protection/>
    </xf>
    <xf numFmtId="3" fontId="3" fillId="0" borderId="22" xfId="104" applyNumberFormat="1" applyFont="1" applyBorder="1" applyAlignment="1">
      <alignment vertical="center"/>
      <protection/>
    </xf>
    <xf numFmtId="10" fontId="78" fillId="0" borderId="25" xfId="106" applyNumberFormat="1" applyFont="1" applyFill="1" applyBorder="1" applyAlignment="1">
      <alignment vertical="top"/>
      <protection/>
    </xf>
    <xf numFmtId="10" fontId="42" fillId="0" borderId="67" xfId="104" applyNumberFormat="1" applyFont="1" applyFill="1" applyBorder="1" applyAlignment="1">
      <alignment horizontal="right"/>
      <protection/>
    </xf>
    <xf numFmtId="0" fontId="11" fillId="0" borderId="0" xfId="104" applyFont="1" applyBorder="1">
      <alignment/>
      <protection/>
    </xf>
    <xf numFmtId="3" fontId="18" fillId="0" borderId="92" xfId="68" applyNumberFormat="1" applyFont="1" applyBorder="1" applyAlignment="1">
      <alignment horizontal="right" vertical="center"/>
    </xf>
    <xf numFmtId="3" fontId="18" fillId="0" borderId="92" xfId="104" applyNumberFormat="1" applyFont="1" applyBorder="1" applyAlignment="1">
      <alignment horizontal="right"/>
      <protection/>
    </xf>
    <xf numFmtId="3" fontId="18" fillId="0" borderId="93" xfId="104" applyNumberFormat="1" applyFont="1" applyBorder="1" applyAlignment="1">
      <alignment horizontal="right"/>
      <protection/>
    </xf>
    <xf numFmtId="10" fontId="18" fillId="0" borderId="25" xfId="104" applyNumberFormat="1" applyFont="1" applyFill="1" applyBorder="1" applyAlignment="1">
      <alignment horizontal="right"/>
      <protection/>
    </xf>
    <xf numFmtId="3" fontId="1" fillId="0" borderId="35" xfId="101" applyNumberFormat="1" applyFont="1" applyBorder="1">
      <alignment/>
      <protection/>
    </xf>
    <xf numFmtId="0" fontId="30" fillId="0" borderId="0" xfId="107" applyFont="1" applyFill="1">
      <alignment/>
      <protection/>
    </xf>
    <xf numFmtId="0" fontId="30" fillId="0" borderId="0" xfId="107" applyFont="1" applyFill="1" applyAlignment="1">
      <alignment vertical="center" wrapText="1"/>
      <protection/>
    </xf>
    <xf numFmtId="167" fontId="86" fillId="0" borderId="0" xfId="107" applyNumberFormat="1" applyFont="1" applyFill="1" applyBorder="1" applyAlignment="1" applyProtection="1">
      <alignment vertical="center" wrapText="1"/>
      <protection/>
    </xf>
    <xf numFmtId="167" fontId="28" fillId="0" borderId="0" xfId="107" applyNumberFormat="1" applyFont="1" applyFill="1" applyBorder="1" applyAlignment="1" applyProtection="1">
      <alignment horizontal="centerContinuous"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47" fillId="0" borderId="0" xfId="107" applyFont="1" applyFill="1" applyBorder="1" applyAlignment="1">
      <alignment vertical="center" wrapText="1"/>
      <protection/>
    </xf>
    <xf numFmtId="0" fontId="47" fillId="0" borderId="35" xfId="107" applyFont="1" applyFill="1" applyBorder="1" applyAlignment="1">
      <alignment horizontal="center" vertical="center" wrapText="1"/>
      <protection/>
    </xf>
    <xf numFmtId="0" fontId="31" fillId="0" borderId="22" xfId="107" applyFont="1" applyFill="1" applyBorder="1" applyAlignment="1">
      <alignment horizontal="center" vertical="center"/>
      <protection/>
    </xf>
    <xf numFmtId="0" fontId="31" fillId="0" borderId="23" xfId="107" applyFont="1" applyFill="1" applyBorder="1" applyAlignment="1">
      <alignment horizontal="center" vertical="center" wrapText="1"/>
      <protection/>
    </xf>
    <xf numFmtId="0" fontId="31" fillId="0" borderId="23" xfId="107" applyFont="1" applyFill="1" applyBorder="1" applyAlignment="1">
      <alignment horizontal="center" vertical="center"/>
      <protection/>
    </xf>
    <xf numFmtId="0" fontId="31" fillId="0" borderId="48" xfId="107" applyFont="1" applyFill="1" applyBorder="1" applyAlignment="1">
      <alignment horizontal="center" vertical="center"/>
      <protection/>
    </xf>
    <xf numFmtId="0" fontId="31" fillId="0" borderId="26" xfId="107" applyFont="1" applyFill="1" applyBorder="1" applyAlignment="1">
      <alignment horizontal="center" vertical="center"/>
      <protection/>
    </xf>
    <xf numFmtId="0" fontId="31" fillId="0" borderId="21" xfId="107" applyFont="1" applyFill="1" applyBorder="1" applyAlignment="1">
      <alignment horizontal="center" vertical="center"/>
      <protection/>
    </xf>
    <xf numFmtId="168" fontId="31" fillId="0" borderId="32" xfId="68" applyNumberFormat="1" applyFont="1" applyFill="1" applyBorder="1" applyAlignment="1" applyProtection="1">
      <alignment horizontal="right" vertical="center"/>
      <protection locked="0"/>
    </xf>
    <xf numFmtId="168" fontId="31" fillId="0" borderId="33" xfId="68" applyNumberFormat="1" applyFont="1" applyFill="1" applyBorder="1" applyAlignment="1" applyProtection="1">
      <alignment horizontal="right" vertical="center"/>
      <protection locked="0"/>
    </xf>
    <xf numFmtId="0" fontId="31" fillId="0" borderId="36" xfId="107" applyFont="1" applyFill="1" applyBorder="1" applyAlignment="1">
      <alignment horizontal="center" vertical="center"/>
      <protection/>
    </xf>
    <xf numFmtId="0" fontId="31" fillId="0" borderId="35" xfId="107" applyFont="1" applyFill="1" applyBorder="1" applyAlignment="1" applyProtection="1">
      <alignment vertical="center" wrapText="1"/>
      <protection locked="0"/>
    </xf>
    <xf numFmtId="168" fontId="31" fillId="0" borderId="35" xfId="68" applyNumberFormat="1" applyFont="1" applyFill="1" applyBorder="1" applyAlignment="1" applyProtection="1">
      <alignment horizontal="right" vertical="center"/>
      <protection locked="0"/>
    </xf>
    <xf numFmtId="168" fontId="31" fillId="0" borderId="61" xfId="68" applyNumberFormat="1" applyFont="1" applyFill="1" applyBorder="1" applyAlignment="1" applyProtection="1">
      <alignment horizontal="right" vertical="center"/>
      <protection locked="0"/>
    </xf>
    <xf numFmtId="0" fontId="47" fillId="0" borderId="23" xfId="107" applyFont="1" applyFill="1" applyBorder="1" applyAlignment="1">
      <alignment vertical="center" wrapText="1"/>
      <protection/>
    </xf>
    <xf numFmtId="168" fontId="31" fillId="0" borderId="23" xfId="107" applyNumberFormat="1" applyFont="1" applyFill="1" applyBorder="1" applyAlignment="1">
      <alignment horizontal="right" vertical="center"/>
      <protection/>
    </xf>
    <xf numFmtId="168" fontId="31" fillId="0" borderId="48" xfId="107" applyNumberFormat="1" applyFont="1" applyFill="1" applyBorder="1" applyAlignment="1">
      <alignment horizontal="right" vertical="center"/>
      <protection/>
    </xf>
    <xf numFmtId="0" fontId="30" fillId="0" borderId="0" xfId="107" applyFont="1" applyFill="1" applyBorder="1" applyAlignment="1">
      <alignment vertical="center" wrapText="1"/>
      <protection/>
    </xf>
    <xf numFmtId="0" fontId="31" fillId="0" borderId="0" xfId="107" applyFont="1" applyFill="1" applyBorder="1" applyAlignment="1" applyProtection="1">
      <alignment vertical="center" wrapText="1"/>
      <protection locked="0"/>
    </xf>
    <xf numFmtId="3" fontId="1" fillId="0" borderId="0" xfId="101" applyNumberFormat="1" applyAlignment="1">
      <alignment vertical="center" wrapText="1"/>
      <protection/>
    </xf>
    <xf numFmtId="3" fontId="1" fillId="0" borderId="0" xfId="101" applyNumberFormat="1" applyAlignment="1">
      <alignment vertical="center"/>
      <protection/>
    </xf>
    <xf numFmtId="3" fontId="1" fillId="0" borderId="0" xfId="101" applyNumberFormat="1" applyAlignment="1">
      <alignment horizontal="right" vertical="center"/>
      <protection/>
    </xf>
    <xf numFmtId="3" fontId="88" fillId="0" borderId="24" xfId="101" applyNumberFormat="1" applyFont="1" applyFill="1" applyBorder="1" applyAlignment="1">
      <alignment horizontal="center" vertical="center"/>
      <protection/>
    </xf>
    <xf numFmtId="3" fontId="88" fillId="0" borderId="92" xfId="101" applyNumberFormat="1" applyFont="1" applyFill="1" applyBorder="1" applyAlignment="1">
      <alignment horizontal="center" vertical="center"/>
      <protection/>
    </xf>
    <xf numFmtId="3" fontId="88" fillId="0" borderId="25" xfId="101" applyNumberFormat="1" applyFont="1" applyFill="1" applyBorder="1" applyAlignment="1">
      <alignment horizontal="center" vertical="center"/>
      <protection/>
    </xf>
    <xf numFmtId="3" fontId="27" fillId="0" borderId="34" xfId="101" applyNumberFormat="1" applyFont="1" applyBorder="1" applyAlignment="1">
      <alignment vertical="center" wrapText="1"/>
      <protection/>
    </xf>
    <xf numFmtId="3" fontId="27" fillId="0" borderId="21" xfId="101" applyNumberFormat="1" applyFont="1" applyBorder="1" applyAlignment="1">
      <alignment vertical="center" wrapText="1"/>
      <protection/>
    </xf>
    <xf numFmtId="3" fontId="27" fillId="0" borderId="36" xfId="101" applyNumberFormat="1" applyFont="1" applyBorder="1" applyAlignment="1">
      <alignment vertical="center" wrapText="1"/>
      <protection/>
    </xf>
    <xf numFmtId="3" fontId="27" fillId="0" borderId="31" xfId="101" applyNumberFormat="1" applyFont="1" applyBorder="1" applyAlignment="1">
      <alignment vertical="center" wrapText="1"/>
      <protection/>
    </xf>
    <xf numFmtId="3" fontId="25" fillId="0" borderId="45" xfId="101" applyNumberFormat="1" applyFont="1" applyBorder="1" applyAlignment="1">
      <alignment vertical="center" wrapText="1"/>
      <protection/>
    </xf>
    <xf numFmtId="3" fontId="25" fillId="0" borderId="51" xfId="101" applyNumberFormat="1" applyFont="1" applyBorder="1" applyAlignment="1">
      <alignment vertical="center"/>
      <protection/>
    </xf>
    <xf numFmtId="3" fontId="25" fillId="0" borderId="52" xfId="101" applyNumberFormat="1" applyFont="1" applyBorder="1" applyAlignment="1">
      <alignment vertical="center"/>
      <protection/>
    </xf>
    <xf numFmtId="0" fontId="27" fillId="0" borderId="34" xfId="101" applyFont="1" applyFill="1" applyBorder="1" applyAlignment="1">
      <alignment vertical="center"/>
      <protection/>
    </xf>
    <xf numFmtId="0" fontId="27" fillId="0" borderId="31" xfId="101" applyFont="1" applyFill="1" applyBorder="1" applyAlignment="1">
      <alignment vertical="center"/>
      <protection/>
    </xf>
    <xf numFmtId="0" fontId="25" fillId="0" borderId="45" xfId="101" applyFont="1" applyFill="1" applyBorder="1" applyAlignment="1">
      <alignment vertical="center"/>
      <protection/>
    </xf>
    <xf numFmtId="3" fontId="6" fillId="0" borderId="0" xfId="101" applyNumberFormat="1" applyFont="1" applyAlignment="1">
      <alignment vertical="center"/>
      <protection/>
    </xf>
    <xf numFmtId="3" fontId="3" fillId="0" borderId="48" xfId="0" applyNumberFormat="1" applyFont="1" applyFill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40" fillId="0" borderId="48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horizontal="right" vertical="center"/>
    </xf>
    <xf numFmtId="3" fontId="7" fillId="0" borderId="61" xfId="0" applyNumberFormat="1" applyFont="1" applyBorder="1" applyAlignment="1">
      <alignment vertical="center"/>
    </xf>
    <xf numFmtId="3" fontId="30" fillId="0" borderId="0" xfId="107" applyNumberFormat="1" applyFont="1" applyFill="1">
      <alignment/>
      <protection/>
    </xf>
    <xf numFmtId="168" fontId="30" fillId="0" borderId="0" xfId="107" applyNumberFormat="1" applyFont="1" applyFill="1">
      <alignment/>
      <protection/>
    </xf>
    <xf numFmtId="0" fontId="12" fillId="1" borderId="33" xfId="104" applyFont="1" applyFill="1" applyBorder="1" applyAlignment="1">
      <alignment horizontal="center" vertical="center"/>
      <protection/>
    </xf>
    <xf numFmtId="0" fontId="12" fillId="1" borderId="21" xfId="104" applyFont="1" applyFill="1" applyBorder="1" applyAlignment="1">
      <alignment horizontal="center" vertical="center"/>
      <protection/>
    </xf>
    <xf numFmtId="3" fontId="67" fillId="0" borderId="51" xfId="101" applyNumberFormat="1" applyFont="1" applyBorder="1" applyAlignment="1">
      <alignment horizontal="right"/>
      <protection/>
    </xf>
    <xf numFmtId="0" fontId="67" fillId="0" borderId="65" xfId="101" applyFont="1" applyFill="1" applyBorder="1">
      <alignment/>
      <protection/>
    </xf>
    <xf numFmtId="3" fontId="67" fillId="0" borderId="51" xfId="101" applyNumberFormat="1" applyFont="1" applyFill="1" applyBorder="1">
      <alignment/>
      <protection/>
    </xf>
    <xf numFmtId="0" fontId="12" fillId="1" borderId="77" xfId="104" applyFont="1" applyFill="1" applyBorder="1" applyAlignment="1">
      <alignment horizontal="center" vertical="center" wrapText="1"/>
      <protection/>
    </xf>
    <xf numFmtId="0" fontId="12" fillId="1" borderId="77" xfId="104" applyFont="1" applyFill="1" applyBorder="1" applyAlignment="1">
      <alignment horizontal="center" vertical="center"/>
      <protection/>
    </xf>
    <xf numFmtId="3" fontId="11" fillId="0" borderId="57" xfId="104" applyNumberFormat="1" applyFont="1" applyBorder="1">
      <alignment/>
      <protection/>
    </xf>
    <xf numFmtId="10" fontId="7" fillId="0" borderId="32" xfId="0" applyNumberFormat="1" applyFont="1" applyBorder="1" applyAlignment="1">
      <alignment vertical="center"/>
    </xf>
    <xf numFmtId="10" fontId="7" fillId="0" borderId="32" xfId="0" applyNumberFormat="1" applyFont="1" applyFill="1" applyBorder="1" applyAlignment="1">
      <alignment vertical="center"/>
    </xf>
    <xf numFmtId="10" fontId="7" fillId="0" borderId="37" xfId="0" applyNumberFormat="1" applyFont="1" applyBorder="1" applyAlignment="1">
      <alignment vertical="center"/>
    </xf>
    <xf numFmtId="10" fontId="7" fillId="0" borderId="35" xfId="0" applyNumberFormat="1" applyFont="1" applyFill="1" applyBorder="1" applyAlignment="1">
      <alignment vertical="center"/>
    </xf>
    <xf numFmtId="10" fontId="4" fillId="0" borderId="37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Continuous" vertical="center" wrapText="1"/>
    </xf>
    <xf numFmtId="3" fontId="7" fillId="0" borderId="38" xfId="0" applyNumberFormat="1" applyFont="1" applyFill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94" xfId="0" applyNumberFormat="1" applyFont="1" applyBorder="1" applyAlignment="1">
      <alignment vertical="center"/>
    </xf>
    <xf numFmtId="3" fontId="7" fillId="0" borderId="39" xfId="0" applyNumberFormat="1" applyFont="1" applyFill="1" applyBorder="1" applyAlignment="1">
      <alignment vertical="center"/>
    </xf>
    <xf numFmtId="3" fontId="40" fillId="0" borderId="54" xfId="0" applyNumberFormat="1" applyFont="1" applyFill="1" applyBorder="1" applyAlignment="1">
      <alignment vertical="center"/>
    </xf>
    <xf numFmtId="3" fontId="33" fillId="0" borderId="67" xfId="104" applyNumberFormat="1" applyFont="1" applyFill="1" applyBorder="1" applyAlignment="1">
      <alignment vertical="center"/>
      <protection/>
    </xf>
    <xf numFmtId="3" fontId="33" fillId="0" borderId="64" xfId="104" applyNumberFormat="1" applyFont="1" applyFill="1" applyBorder="1" applyAlignment="1">
      <alignment horizontal="right" vertical="center" wrapText="1"/>
      <protection/>
    </xf>
    <xf numFmtId="3" fontId="33" fillId="0" borderId="79" xfId="104" applyNumberFormat="1" applyFont="1" applyFill="1" applyBorder="1" applyAlignment="1">
      <alignment horizontal="right" vertical="center" wrapText="1"/>
      <protection/>
    </xf>
    <xf numFmtId="3" fontId="18" fillId="0" borderId="75" xfId="104" applyNumberFormat="1" applyFont="1" applyBorder="1" applyAlignment="1">
      <alignment horizontal="right"/>
      <protection/>
    </xf>
    <xf numFmtId="0" fontId="12" fillId="1" borderId="41" xfId="104" applyFont="1" applyFill="1" applyBorder="1" applyAlignment="1">
      <alignment horizontal="center" vertical="center"/>
      <protection/>
    </xf>
    <xf numFmtId="0" fontId="3" fillId="0" borderId="63" xfId="0" applyFont="1" applyFill="1" applyBorder="1" applyAlignment="1">
      <alignment horizontal="centerContinuous" vertical="center" wrapText="1"/>
    </xf>
    <xf numFmtId="0" fontId="77" fillId="0" borderId="87" xfId="0" applyFont="1" applyBorder="1" applyAlignment="1">
      <alignment vertical="center" wrapText="1"/>
    </xf>
    <xf numFmtId="0" fontId="77" fillId="0" borderId="95" xfId="0" applyFont="1" applyBorder="1" applyAlignment="1">
      <alignment horizontal="center" vertical="center" wrapText="1"/>
    </xf>
    <xf numFmtId="3" fontId="33" fillId="0" borderId="95" xfId="104" applyNumberFormat="1" applyFont="1" applyFill="1" applyBorder="1" applyAlignment="1">
      <alignment vertical="center"/>
      <protection/>
    </xf>
    <xf numFmtId="10" fontId="33" fillId="0" borderId="95" xfId="104" applyNumberFormat="1" applyFont="1" applyBorder="1" applyAlignment="1">
      <alignment horizontal="right" vertical="center" wrapText="1"/>
      <protection/>
    </xf>
    <xf numFmtId="3" fontId="15" fillId="0" borderId="0" xfId="104" applyNumberFormat="1" applyFont="1">
      <alignment/>
      <protection/>
    </xf>
    <xf numFmtId="167" fontId="43" fillId="0" borderId="19" xfId="107" applyNumberFormat="1" applyFont="1" applyFill="1" applyBorder="1" applyAlignment="1" applyProtection="1">
      <alignment vertical="center"/>
      <protection/>
    </xf>
    <xf numFmtId="3" fontId="11" fillId="0" borderId="57" xfId="104" applyNumberFormat="1" applyBorder="1" applyAlignment="1">
      <alignment vertical="center"/>
      <protection/>
    </xf>
    <xf numFmtId="0" fontId="67" fillId="0" borderId="31" xfId="101" applyFont="1" applyBorder="1">
      <alignment/>
      <protection/>
    </xf>
    <xf numFmtId="0" fontId="1" fillId="0" borderId="42" xfId="101" applyFont="1" applyFill="1" applyBorder="1">
      <alignment/>
      <protection/>
    </xf>
    <xf numFmtId="3" fontId="1" fillId="0" borderId="35" xfId="101" applyNumberFormat="1" applyFont="1" applyFill="1" applyBorder="1">
      <alignment/>
      <protection/>
    </xf>
    <xf numFmtId="0" fontId="1" fillId="0" borderId="42" xfId="101" applyFont="1" applyBorder="1">
      <alignment/>
      <protection/>
    </xf>
    <xf numFmtId="0" fontId="1" fillId="0" borderId="42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0" fontId="90" fillId="0" borderId="0" xfId="101" applyFont="1" applyFill="1" applyAlignment="1">
      <alignment horizontal="right"/>
      <protection/>
    </xf>
    <xf numFmtId="3" fontId="27" fillId="0" borderId="29" xfId="101" applyNumberFormat="1" applyFont="1" applyFill="1" applyBorder="1" applyAlignment="1">
      <alignment vertical="center"/>
      <protection/>
    </xf>
    <xf numFmtId="3" fontId="27" fillId="0" borderId="29" xfId="101" applyNumberFormat="1" applyFont="1" applyFill="1" applyBorder="1" applyAlignment="1">
      <alignment horizontal="right" vertical="center"/>
      <protection/>
    </xf>
    <xf numFmtId="3" fontId="27" fillId="0" borderId="33" xfId="101" applyNumberFormat="1" applyFont="1" applyFill="1" applyBorder="1" applyAlignment="1">
      <alignment horizontal="right" vertical="center"/>
      <protection/>
    </xf>
    <xf numFmtId="3" fontId="27" fillId="0" borderId="32" xfId="101" applyNumberFormat="1" applyFont="1" applyFill="1" applyBorder="1" applyAlignment="1">
      <alignment vertical="center"/>
      <protection/>
    </xf>
    <xf numFmtId="3" fontId="27" fillId="0" borderId="32" xfId="101" applyNumberFormat="1" applyFont="1" applyFill="1" applyBorder="1" applyAlignment="1">
      <alignment horizontal="right" vertical="center"/>
      <protection/>
    </xf>
    <xf numFmtId="3" fontId="27" fillId="0" borderId="35" xfId="101" applyNumberFormat="1" applyFont="1" applyFill="1" applyBorder="1" applyAlignment="1">
      <alignment vertical="center"/>
      <protection/>
    </xf>
    <xf numFmtId="3" fontId="27" fillId="0" borderId="35" xfId="101" applyNumberFormat="1" applyFont="1" applyFill="1" applyBorder="1" applyAlignment="1">
      <alignment horizontal="right" vertical="center"/>
      <protection/>
    </xf>
    <xf numFmtId="3" fontId="27" fillId="0" borderId="24" xfId="101" applyNumberFormat="1" applyFont="1" applyFill="1" applyBorder="1" applyAlignment="1">
      <alignment vertical="center"/>
      <protection/>
    </xf>
    <xf numFmtId="3" fontId="27" fillId="0" borderId="24" xfId="101" applyNumberFormat="1" applyFont="1" applyFill="1" applyBorder="1" applyAlignment="1">
      <alignment horizontal="right" vertical="center"/>
      <protection/>
    </xf>
    <xf numFmtId="3" fontId="27" fillId="0" borderId="25" xfId="101" applyNumberFormat="1" applyFont="1" applyFill="1" applyBorder="1" applyAlignment="1">
      <alignment horizontal="right" vertical="center"/>
      <protection/>
    </xf>
    <xf numFmtId="0" fontId="33" fillId="0" borderId="32" xfId="104" applyFont="1" applyFill="1" applyBorder="1" applyAlignment="1">
      <alignment vertical="center" wrapText="1"/>
      <protection/>
    </xf>
    <xf numFmtId="0" fontId="0" fillId="0" borderId="28" xfId="104" applyFont="1" applyFill="1" applyBorder="1" applyAlignment="1">
      <alignment horizontal="center" vertical="center"/>
      <protection/>
    </xf>
    <xf numFmtId="0" fontId="0" fillId="0" borderId="29" xfId="104" applyFont="1" applyFill="1" applyBorder="1" applyAlignment="1">
      <alignment horizontal="left" vertical="center" wrapText="1"/>
      <protection/>
    </xf>
    <xf numFmtId="0" fontId="0" fillId="0" borderId="41" xfId="104" applyFont="1" applyFill="1" applyBorder="1" applyAlignment="1">
      <alignment horizontal="center" vertical="center"/>
      <protection/>
    </xf>
    <xf numFmtId="3" fontId="7" fillId="0" borderId="34" xfId="104" applyNumberFormat="1" applyFont="1" applyFill="1" applyBorder="1" applyAlignment="1">
      <alignment horizontal="right" vertical="center"/>
      <protection/>
    </xf>
    <xf numFmtId="0" fontId="46" fillId="0" borderId="37" xfId="107" applyFont="1" applyFill="1" applyBorder="1" applyAlignment="1" applyProtection="1">
      <alignment horizontal="left" vertical="center" wrapText="1" indent="1"/>
      <protection/>
    </xf>
    <xf numFmtId="0" fontId="46" fillId="0" borderId="27" xfId="0" applyFont="1" applyFill="1" applyBorder="1" applyAlignment="1" applyProtection="1">
      <alignment horizontal="left" vertical="center" wrapText="1" indent="1"/>
      <protection/>
    </xf>
    <xf numFmtId="167" fontId="54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32" xfId="0" applyFont="1" applyFill="1" applyBorder="1" applyAlignment="1" applyProtection="1">
      <alignment horizontal="left" vertical="center" wrapText="1" indent="1"/>
      <protection/>
    </xf>
    <xf numFmtId="167" fontId="54" fillId="0" borderId="32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32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33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36" xfId="0" applyFont="1" applyFill="1" applyBorder="1" applyAlignment="1" applyProtection="1">
      <alignment horizontal="center" vertical="center" wrapText="1"/>
      <protection/>
    </xf>
    <xf numFmtId="0" fontId="46" fillId="0" borderId="35" xfId="0" applyFont="1" applyFill="1" applyBorder="1" applyAlignment="1" applyProtection="1">
      <alignment horizontal="left" vertical="center" wrapText="1" indent="1"/>
      <protection/>
    </xf>
    <xf numFmtId="167" fontId="54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6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75" xfId="0" applyFont="1" applyFill="1" applyBorder="1" applyAlignment="1" applyProtection="1">
      <alignment horizontal="left" vertical="center" wrapText="1" indent="1"/>
      <protection/>
    </xf>
    <xf numFmtId="167" fontId="54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73" xfId="0" applyFont="1" applyFill="1" applyBorder="1" applyAlignment="1" applyProtection="1">
      <alignment horizontal="left" vertical="center" wrapText="1" indent="1"/>
      <protection/>
    </xf>
    <xf numFmtId="0" fontId="46" fillId="0" borderId="67" xfId="0" applyFont="1" applyFill="1" applyBorder="1" applyAlignment="1" applyProtection="1">
      <alignment horizontal="left" vertical="center" wrapText="1" indent="1"/>
      <protection/>
    </xf>
    <xf numFmtId="0" fontId="46" fillId="0" borderId="64" xfId="0" applyFont="1" applyFill="1" applyBorder="1" applyAlignment="1" applyProtection="1">
      <alignment horizontal="left" vertical="center" wrapText="1" indent="1"/>
      <protection/>
    </xf>
    <xf numFmtId="0" fontId="54" fillId="0" borderId="31" xfId="0" applyFont="1" applyFill="1" applyBorder="1" applyAlignment="1" applyProtection="1">
      <alignment horizontal="center" vertical="center" wrapText="1"/>
      <protection/>
    </xf>
    <xf numFmtId="0" fontId="45" fillId="0" borderId="24" xfId="0" applyFont="1" applyFill="1" applyBorder="1" applyAlignment="1" applyProtection="1">
      <alignment horizontal="center" vertical="center" wrapText="1"/>
      <protection/>
    </xf>
    <xf numFmtId="3" fontId="7" fillId="0" borderId="29" xfId="0" applyNumberFormat="1" applyFont="1" applyFill="1" applyBorder="1" applyAlignment="1">
      <alignment horizontal="right" vertical="center" wrapText="1"/>
    </xf>
    <xf numFmtId="0" fontId="14" fillId="0" borderId="0" xfId="104" applyFont="1" applyAlignment="1">
      <alignment horizontal="center"/>
      <protection/>
    </xf>
    <xf numFmtId="2" fontId="38" fillId="0" borderId="33" xfId="105" applyNumberFormat="1" applyFont="1" applyFill="1" applyBorder="1" applyAlignment="1">
      <alignment horizontal="center" vertical="center" wrapText="1"/>
      <protection/>
    </xf>
    <xf numFmtId="2" fontId="36" fillId="0" borderId="52" xfId="105" applyNumberFormat="1" applyFont="1" applyBorder="1" applyAlignment="1">
      <alignment horizontal="center" vertical="center"/>
      <protection/>
    </xf>
    <xf numFmtId="3" fontId="0" fillId="0" borderId="69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104" applyFont="1" applyAlignment="1">
      <alignment wrapText="1"/>
      <protection/>
    </xf>
    <xf numFmtId="0" fontId="3" fillId="0" borderId="44" xfId="0" applyFont="1" applyFill="1" applyBorder="1" applyAlignment="1">
      <alignment horizontal="centerContinuous" vertical="center" wrapText="1"/>
    </xf>
    <xf numFmtId="3" fontId="3" fillId="0" borderId="54" xfId="0" applyNumberFormat="1" applyFont="1" applyFill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54" xfId="0" applyNumberFormat="1" applyFont="1" applyFill="1" applyBorder="1" applyAlignment="1">
      <alignment horizontal="right" vertical="center"/>
    </xf>
    <xf numFmtId="3" fontId="7" fillId="0" borderId="33" xfId="0" applyNumberFormat="1" applyFont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61" xfId="0" applyNumberFormat="1" applyFont="1" applyFill="1" applyBorder="1" applyAlignment="1">
      <alignment vertical="center"/>
    </xf>
    <xf numFmtId="0" fontId="4" fillId="0" borderId="62" xfId="0" applyFont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15" fillId="0" borderId="27" xfId="104" applyNumberFormat="1" applyFont="1" applyBorder="1" applyAlignment="1">
      <alignment vertical="center"/>
      <protection/>
    </xf>
    <xf numFmtId="3" fontId="15" fillId="0" borderId="32" xfId="104" applyNumberFormat="1" applyFont="1" applyBorder="1" applyAlignment="1">
      <alignment vertical="center"/>
      <protection/>
    </xf>
    <xf numFmtId="3" fontId="15" fillId="0" borderId="32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32" xfId="104" applyNumberFormat="1" applyFont="1" applyFill="1" applyBorder="1" applyAlignment="1">
      <alignment vertical="center"/>
      <protection/>
    </xf>
    <xf numFmtId="3" fontId="15" fillId="0" borderId="32" xfId="104" applyNumberFormat="1" applyFont="1" applyFill="1" applyBorder="1" applyAlignment="1">
      <alignment horizontal="right" vertical="center"/>
      <protection/>
    </xf>
    <xf numFmtId="0" fontId="14" fillId="0" borderId="32" xfId="0" applyFont="1" applyFill="1" applyBorder="1" applyAlignment="1">
      <alignment vertical="center"/>
    </xf>
    <xf numFmtId="3" fontId="7" fillId="49" borderId="33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10" fontId="3" fillId="0" borderId="48" xfId="0" applyNumberFormat="1" applyFont="1" applyFill="1" applyBorder="1" applyAlignment="1">
      <alignment horizontal="centerContinuous" vertical="center" wrapText="1"/>
    </xf>
    <xf numFmtId="10" fontId="7" fillId="0" borderId="33" xfId="0" applyNumberFormat="1" applyFont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0" fontId="54" fillId="0" borderId="34" xfId="0" applyFont="1" applyFill="1" applyBorder="1" applyAlignment="1" applyProtection="1">
      <alignment horizontal="center" vertical="center" wrapText="1"/>
      <protection/>
    </xf>
    <xf numFmtId="0" fontId="46" fillId="0" borderId="29" xfId="0" applyFont="1" applyFill="1" applyBorder="1" applyAlignment="1" applyProtection="1">
      <alignment horizontal="left" vertical="center" wrapText="1" indent="1"/>
      <protection/>
    </xf>
    <xf numFmtId="167" fontId="54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77" fillId="0" borderId="42" xfId="0" applyFont="1" applyBorder="1" applyAlignment="1">
      <alignment vertical="center" wrapText="1"/>
    </xf>
    <xf numFmtId="0" fontId="77" fillId="0" borderId="35" xfId="0" applyFont="1" applyBorder="1" applyAlignment="1">
      <alignment horizontal="center" vertical="center" wrapText="1"/>
    </xf>
    <xf numFmtId="3" fontId="33" fillId="0" borderId="35" xfId="104" applyNumberFormat="1" applyFont="1" applyFill="1" applyBorder="1" applyAlignment="1">
      <alignment vertical="center"/>
      <protection/>
    </xf>
    <xf numFmtId="0" fontId="42" fillId="0" borderId="0" xfId="104" applyFont="1">
      <alignment/>
      <protection/>
    </xf>
    <xf numFmtId="3" fontId="42" fillId="0" borderId="0" xfId="104" applyNumberFormat="1" applyFont="1">
      <alignment/>
      <protection/>
    </xf>
    <xf numFmtId="3" fontId="14" fillId="0" borderId="0" xfId="104" applyNumberFormat="1" applyFont="1" applyAlignment="1">
      <alignment horizontal="center"/>
      <protection/>
    </xf>
    <xf numFmtId="3" fontId="15" fillId="0" borderId="0" xfId="104" applyNumberFormat="1" applyFont="1" applyFill="1">
      <alignment/>
      <protection/>
    </xf>
    <xf numFmtId="3" fontId="42" fillId="0" borderId="64" xfId="104" applyNumberFormat="1" applyFont="1" applyFill="1" applyBorder="1" applyAlignment="1">
      <alignment horizontal="right"/>
      <protection/>
    </xf>
    <xf numFmtId="3" fontId="42" fillId="0" borderId="35" xfId="104" applyNumberFormat="1" applyFont="1" applyFill="1" applyBorder="1" applyAlignment="1">
      <alignment horizontal="right"/>
      <protection/>
    </xf>
    <xf numFmtId="3" fontId="17" fillId="0" borderId="0" xfId="104" applyNumberFormat="1" applyFont="1" applyAlignment="1">
      <alignment horizontal="right"/>
      <protection/>
    </xf>
    <xf numFmtId="167" fontId="4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4" xfId="0" applyFill="1" applyBorder="1" applyAlignment="1" applyProtection="1">
      <alignment horizontal="right" vertical="center" wrapText="1" indent="1"/>
      <protection/>
    </xf>
    <xf numFmtId="10" fontId="46" fillId="0" borderId="6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8" xfId="0" applyFill="1" applyBorder="1" applyAlignment="1">
      <alignment vertical="center" wrapText="1"/>
    </xf>
    <xf numFmtId="167" fontId="54" fillId="0" borderId="94" xfId="0" applyNumberFormat="1" applyFont="1" applyFill="1" applyBorder="1" applyAlignment="1" applyProtection="1">
      <alignment horizontal="right" vertical="center" wrapText="1" indent="1"/>
      <protection/>
    </xf>
    <xf numFmtId="167" fontId="54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0" fontId="54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2" xfId="0" applyFill="1" applyBorder="1" applyAlignment="1" applyProtection="1">
      <alignment horizontal="right" vertical="center" wrapText="1" indent="1"/>
      <protection/>
    </xf>
    <xf numFmtId="0" fontId="12" fillId="1" borderId="32" xfId="104" applyFont="1" applyFill="1" applyBorder="1" applyAlignment="1">
      <alignment horizontal="center" vertical="center"/>
      <protection/>
    </xf>
    <xf numFmtId="3" fontId="2" fillId="0" borderId="63" xfId="0" applyNumberFormat="1" applyFont="1" applyBorder="1" applyAlignment="1">
      <alignment vertical="center"/>
    </xf>
    <xf numFmtId="0" fontId="7" fillId="0" borderId="63" xfId="0" applyFont="1" applyFill="1" applyBorder="1" applyAlignment="1">
      <alignment horizontal="center" vertical="center" wrapText="1"/>
    </xf>
    <xf numFmtId="3" fontId="3" fillId="49" borderId="63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10" fontId="11" fillId="0" borderId="26" xfId="104" applyNumberFormat="1" applyBorder="1" applyAlignment="1">
      <alignment vertical="center"/>
      <protection/>
    </xf>
    <xf numFmtId="10" fontId="11" fillId="0" borderId="21" xfId="104" applyNumberFormat="1" applyBorder="1" applyAlignment="1">
      <alignment vertical="center"/>
      <protection/>
    </xf>
    <xf numFmtId="10" fontId="11" fillId="0" borderId="21" xfId="104" applyNumberFormat="1" applyFill="1" applyBorder="1" applyAlignment="1">
      <alignment vertical="center"/>
      <protection/>
    </xf>
    <xf numFmtId="10" fontId="11" fillId="0" borderId="36" xfId="104" applyNumberFormat="1" applyBorder="1" applyAlignment="1">
      <alignment vertical="center"/>
      <protection/>
    </xf>
    <xf numFmtId="10" fontId="11" fillId="0" borderId="31" xfId="104" applyNumberFormat="1" applyBorder="1" applyAlignment="1">
      <alignment vertical="center"/>
      <protection/>
    </xf>
    <xf numFmtId="10" fontId="11" fillId="0" borderId="45" xfId="104" applyNumberFormat="1" applyBorder="1" applyAlignment="1">
      <alignment vertical="center"/>
      <protection/>
    </xf>
    <xf numFmtId="10" fontId="11" fillId="0" borderId="34" xfId="104" applyNumberFormat="1" applyBorder="1" applyAlignment="1">
      <alignment vertical="center"/>
      <protection/>
    </xf>
    <xf numFmtId="10" fontId="13" fillId="0" borderId="22" xfId="104" applyNumberFormat="1" applyFont="1" applyBorder="1" applyAlignment="1">
      <alignment vertical="center"/>
      <protection/>
    </xf>
    <xf numFmtId="10" fontId="17" fillId="0" borderId="22" xfId="104" applyNumberFormat="1" applyFont="1" applyBorder="1" applyAlignment="1">
      <alignment vertical="center"/>
      <protection/>
    </xf>
    <xf numFmtId="10" fontId="11" fillId="0" borderId="22" xfId="104" applyNumberFormat="1" applyBorder="1" applyAlignment="1">
      <alignment vertical="center"/>
      <protection/>
    </xf>
    <xf numFmtId="10" fontId="39" fillId="0" borderId="22" xfId="104" applyNumberFormat="1" applyFont="1" applyBorder="1" applyAlignment="1">
      <alignment vertical="center"/>
      <protection/>
    </xf>
    <xf numFmtId="10" fontId="11" fillId="0" borderId="26" xfId="104" applyNumberFormat="1" applyFill="1" applyBorder="1" applyAlignment="1">
      <alignment vertical="center"/>
      <protection/>
    </xf>
    <xf numFmtId="10" fontId="11" fillId="0" borderId="34" xfId="104" applyNumberFormat="1" applyFont="1" applyBorder="1" applyAlignment="1">
      <alignment vertical="center"/>
      <protection/>
    </xf>
    <xf numFmtId="10" fontId="17" fillId="0" borderId="36" xfId="104" applyNumberFormat="1" applyFont="1" applyBorder="1" applyAlignment="1">
      <alignment vertical="center"/>
      <protection/>
    </xf>
    <xf numFmtId="10" fontId="17" fillId="0" borderId="45" xfId="104" applyNumberFormat="1" applyFont="1" applyBorder="1" applyAlignment="1">
      <alignment vertical="center"/>
      <protection/>
    </xf>
    <xf numFmtId="10" fontId="39" fillId="0" borderId="45" xfId="104" applyNumberFormat="1" applyFont="1" applyBorder="1" applyAlignment="1">
      <alignment vertical="center"/>
      <protection/>
    </xf>
    <xf numFmtId="10" fontId="13" fillId="0" borderId="34" xfId="104" applyNumberFormat="1" applyFont="1" applyFill="1" applyBorder="1" applyAlignment="1">
      <alignment vertical="center"/>
      <protection/>
    </xf>
    <xf numFmtId="10" fontId="13" fillId="0" borderId="36" xfId="104" applyNumberFormat="1" applyFont="1" applyBorder="1" applyAlignment="1">
      <alignment vertical="center"/>
      <protection/>
    </xf>
    <xf numFmtId="1" fontId="36" fillId="0" borderId="48" xfId="105" applyNumberFormat="1" applyFont="1" applyFill="1" applyBorder="1" applyAlignment="1">
      <alignment horizontal="center" vertical="center" wrapText="1"/>
      <protection/>
    </xf>
    <xf numFmtId="3" fontId="16" fillId="49" borderId="72" xfId="104" applyNumberFormat="1" applyFont="1" applyFill="1" applyBorder="1" applyAlignment="1">
      <alignment horizontal="center" vertical="center"/>
      <protection/>
    </xf>
    <xf numFmtId="3" fontId="15" fillId="0" borderId="67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2" fillId="0" borderId="63" xfId="104" applyNumberFormat="1" applyFont="1" applyBorder="1" applyAlignment="1">
      <alignment horizontal="right" vertical="center"/>
      <protection/>
    </xf>
    <xf numFmtId="3" fontId="15" fillId="0" borderId="67" xfId="0" applyNumberFormat="1" applyFont="1" applyFill="1" applyBorder="1" applyAlignment="1">
      <alignment vertical="center"/>
    </xf>
    <xf numFmtId="3" fontId="15" fillId="0" borderId="67" xfId="104" applyNumberFormat="1" applyFont="1" applyFill="1" applyBorder="1" applyAlignment="1">
      <alignment vertical="center"/>
      <protection/>
    </xf>
    <xf numFmtId="10" fontId="7" fillId="0" borderId="26" xfId="104" applyNumberFormat="1" applyFont="1" applyFill="1" applyBorder="1" applyAlignment="1">
      <alignment horizontal="right" vertical="center"/>
      <protection/>
    </xf>
    <xf numFmtId="10" fontId="7" fillId="0" borderId="34" xfId="104" applyNumberFormat="1" applyFont="1" applyFill="1" applyBorder="1" applyAlignment="1">
      <alignment horizontal="right" vertical="center"/>
      <protection/>
    </xf>
    <xf numFmtId="10" fontId="7" fillId="0" borderId="34" xfId="104" applyNumberFormat="1" applyFont="1" applyBorder="1" applyAlignment="1">
      <alignment horizontal="right" vertical="center"/>
      <protection/>
    </xf>
    <xf numFmtId="10" fontId="7" fillId="0" borderId="21" xfId="104" applyNumberFormat="1" applyFont="1" applyBorder="1" applyAlignment="1">
      <alignment horizontal="right" vertical="center"/>
      <protection/>
    </xf>
    <xf numFmtId="10" fontId="7" fillId="0" borderId="21" xfId="104" applyNumberFormat="1" applyFont="1" applyFill="1" applyBorder="1" applyAlignment="1">
      <alignment horizontal="right" vertical="center"/>
      <protection/>
    </xf>
    <xf numFmtId="10" fontId="3" fillId="0" borderId="22" xfId="104" applyNumberFormat="1" applyFont="1" applyBorder="1" applyAlignment="1">
      <alignment vertical="center"/>
      <protection/>
    </xf>
    <xf numFmtId="3" fontId="76" fillId="0" borderId="72" xfId="106" applyNumberFormat="1" applyFont="1" applyBorder="1" applyAlignment="1">
      <alignment horizontal="center" vertical="center" wrapText="1"/>
      <protection/>
    </xf>
    <xf numFmtId="3" fontId="78" fillId="0" borderId="73" xfId="106" applyNumberFormat="1" applyFont="1" applyFill="1" applyBorder="1" applyAlignment="1">
      <alignment vertical="top"/>
      <protection/>
    </xf>
    <xf numFmtId="3" fontId="78" fillId="0" borderId="67" xfId="106" applyNumberFormat="1" applyFont="1" applyFill="1" applyBorder="1" applyAlignment="1">
      <alignment vertical="top"/>
      <protection/>
    </xf>
    <xf numFmtId="3" fontId="78" fillId="0" borderId="67" xfId="106" applyNumberFormat="1" applyFont="1" applyFill="1" applyBorder="1">
      <alignment/>
      <protection/>
    </xf>
    <xf numFmtId="3" fontId="78" fillId="0" borderId="75" xfId="106" applyNumberFormat="1" applyFont="1" applyFill="1" applyBorder="1">
      <alignment/>
      <protection/>
    </xf>
    <xf numFmtId="3" fontId="79" fillId="0" borderId="63" xfId="106" applyNumberFormat="1" applyFont="1" applyBorder="1" applyAlignment="1">
      <alignment vertical="center"/>
      <protection/>
    </xf>
    <xf numFmtId="3" fontId="91" fillId="0" borderId="0" xfId="104" applyNumberFormat="1" applyFont="1" applyBorder="1" applyAlignment="1">
      <alignment horizontal="right"/>
      <protection/>
    </xf>
    <xf numFmtId="10" fontId="71" fillId="0" borderId="48" xfId="106" applyNumberFormat="1" applyFont="1" applyFill="1" applyBorder="1" applyAlignment="1">
      <alignment vertical="center"/>
      <protection/>
    </xf>
    <xf numFmtId="3" fontId="33" fillId="0" borderId="29" xfId="104" applyNumberFormat="1" applyFont="1" applyFill="1" applyBorder="1" applyAlignment="1">
      <alignment vertical="center"/>
      <protection/>
    </xf>
    <xf numFmtId="0" fontId="12" fillId="1" borderId="21" xfId="104" applyFont="1" applyFill="1" applyBorder="1" applyAlignment="1">
      <alignment horizontal="center" vertical="center" wrapText="1"/>
      <protection/>
    </xf>
    <xf numFmtId="10" fontId="42" fillId="0" borderId="33" xfId="104" applyNumberFormat="1" applyFont="1" applyFill="1" applyBorder="1" applyAlignment="1">
      <alignment horizontal="right"/>
      <protection/>
    </xf>
    <xf numFmtId="168" fontId="31" fillId="0" borderId="48" xfId="68" applyNumberFormat="1" applyFont="1" applyFill="1" applyBorder="1" applyAlignment="1" applyProtection="1">
      <alignment vertical="center"/>
      <protection/>
    </xf>
    <xf numFmtId="168" fontId="0" fillId="0" borderId="0" xfId="0" applyNumberFormat="1" applyAlignment="1">
      <alignment/>
    </xf>
    <xf numFmtId="0" fontId="51" fillId="0" borderId="23" xfId="103" applyFont="1" applyFill="1" applyBorder="1" applyAlignment="1" applyProtection="1">
      <alignment horizontal="center" vertical="center" wrapText="1"/>
      <protection/>
    </xf>
    <xf numFmtId="0" fontId="0" fillId="0" borderId="0" xfId="100" applyFill="1">
      <alignment/>
      <protection/>
    </xf>
    <xf numFmtId="0" fontId="0" fillId="0" borderId="0" xfId="100">
      <alignment/>
      <protection/>
    </xf>
    <xf numFmtId="0" fontId="28" fillId="0" borderId="0" xfId="100" applyFont="1" applyFill="1" applyAlignment="1">
      <alignment horizontal="center"/>
      <protection/>
    </xf>
    <xf numFmtId="0" fontId="45" fillId="0" borderId="0" xfId="100" applyFont="1" applyFill="1" applyAlignment="1">
      <alignment horizontal="right"/>
      <protection/>
    </xf>
    <xf numFmtId="0" fontId="29" fillId="0" borderId="22" xfId="100" applyFont="1" applyFill="1" applyBorder="1" applyAlignment="1">
      <alignment horizontal="center" vertical="center" wrapText="1"/>
      <protection/>
    </xf>
    <xf numFmtId="0" fontId="28" fillId="0" borderId="23" xfId="100" applyFont="1" applyFill="1" applyBorder="1" applyAlignment="1">
      <alignment horizontal="center" vertical="center"/>
      <protection/>
    </xf>
    <xf numFmtId="0" fontId="28" fillId="0" borderId="48" xfId="100" applyFont="1" applyFill="1" applyBorder="1" applyAlignment="1">
      <alignment horizontal="center" vertical="center" wrapText="1"/>
      <protection/>
    </xf>
    <xf numFmtId="0" fontId="0" fillId="0" borderId="34" xfId="100" applyFill="1" applyBorder="1" applyAlignment="1">
      <alignment horizontal="center" vertical="center"/>
      <protection/>
    </xf>
    <xf numFmtId="0" fontId="0" fillId="0" borderId="29" xfId="100" applyFont="1" applyFill="1" applyBorder="1" applyAlignment="1" applyProtection="1">
      <alignment horizontal="left" vertical="center" wrapText="1" indent="1"/>
      <protection locked="0"/>
    </xf>
    <xf numFmtId="175" fontId="50" fillId="0" borderId="60" xfId="100" applyNumberFormat="1" applyFont="1" applyFill="1" applyBorder="1" applyAlignment="1" applyProtection="1">
      <alignment horizontal="right" vertical="center"/>
      <protection/>
    </xf>
    <xf numFmtId="0" fontId="0" fillId="0" borderId="21" xfId="100" applyFill="1" applyBorder="1" applyAlignment="1">
      <alignment horizontal="center" vertical="center"/>
      <protection/>
    </xf>
    <xf numFmtId="0" fontId="106" fillId="0" borderId="32" xfId="100" applyFont="1" applyFill="1" applyBorder="1" applyAlignment="1">
      <alignment horizontal="left" vertical="center" indent="5"/>
      <protection/>
    </xf>
    <xf numFmtId="175" fontId="53" fillId="0" borderId="33" xfId="100" applyNumberFormat="1" applyFont="1" applyFill="1" applyBorder="1" applyAlignment="1" applyProtection="1">
      <alignment horizontal="right" vertical="center"/>
      <protection locked="0"/>
    </xf>
    <xf numFmtId="0" fontId="0" fillId="0" borderId="36" xfId="100" applyFill="1" applyBorder="1" applyAlignment="1">
      <alignment horizontal="center" vertical="center"/>
      <protection/>
    </xf>
    <xf numFmtId="175" fontId="53" fillId="0" borderId="61" xfId="100" applyNumberFormat="1" applyFont="1" applyFill="1" applyBorder="1" applyAlignment="1" applyProtection="1">
      <alignment horizontal="right" vertical="center"/>
      <protection locked="0"/>
    </xf>
    <xf numFmtId="0" fontId="0" fillId="0" borderId="26" xfId="100" applyFill="1" applyBorder="1" applyAlignment="1">
      <alignment horizontal="center" vertical="center"/>
      <protection/>
    </xf>
    <xf numFmtId="0" fontId="0" fillId="0" borderId="27" xfId="100" applyFont="1" applyFill="1" applyBorder="1" applyAlignment="1" applyProtection="1">
      <alignment horizontal="left" vertical="center" wrapText="1" indent="1"/>
      <protection locked="0"/>
    </xf>
    <xf numFmtId="175" fontId="50" fillId="0" borderId="50" xfId="100" applyNumberFormat="1" applyFont="1" applyFill="1" applyBorder="1" applyAlignment="1" applyProtection="1">
      <alignment horizontal="right" vertical="center"/>
      <protection/>
    </xf>
    <xf numFmtId="0" fontId="0" fillId="0" borderId="36" xfId="100" applyFont="1" applyFill="1" applyBorder="1" applyAlignment="1">
      <alignment horizontal="center" vertical="center"/>
      <protection/>
    </xf>
    <xf numFmtId="0" fontId="0" fillId="0" borderId="31" xfId="100" applyFont="1" applyFill="1" applyBorder="1" applyAlignment="1">
      <alignment horizontal="center" vertical="center"/>
      <protection/>
    </xf>
    <xf numFmtId="0" fontId="106" fillId="0" borderId="24" xfId="100" applyFont="1" applyFill="1" applyBorder="1" applyAlignment="1">
      <alignment horizontal="left" vertical="center" indent="5"/>
      <protection/>
    </xf>
    <xf numFmtId="175" fontId="53" fillId="0" borderId="25" xfId="100" applyNumberFormat="1" applyFont="1" applyFill="1" applyBorder="1" applyAlignment="1" applyProtection="1">
      <alignment horizontal="right" vertical="center"/>
      <protection locked="0"/>
    </xf>
    <xf numFmtId="167" fontId="60" fillId="0" borderId="0" xfId="97" applyNumberFormat="1" applyFill="1" applyAlignment="1" applyProtection="1">
      <alignment vertical="center" wrapText="1"/>
      <protection/>
    </xf>
    <xf numFmtId="167" fontId="60" fillId="0" borderId="0" xfId="97" applyNumberFormat="1" applyFill="1" applyAlignment="1" applyProtection="1">
      <alignment horizontal="center" vertical="center" wrapText="1"/>
      <protection/>
    </xf>
    <xf numFmtId="167" fontId="32" fillId="0" borderId="0" xfId="97" applyNumberFormat="1" applyFont="1" applyFill="1" applyAlignment="1" applyProtection="1">
      <alignment horizontal="right"/>
      <protection/>
    </xf>
    <xf numFmtId="167" fontId="28" fillId="0" borderId="0" xfId="97" applyNumberFormat="1" applyFont="1" applyFill="1" applyAlignment="1" applyProtection="1">
      <alignment vertical="center"/>
      <protection/>
    </xf>
    <xf numFmtId="167" fontId="50" fillId="0" borderId="75" xfId="97" applyNumberFormat="1" applyFont="1" applyFill="1" applyBorder="1" applyAlignment="1" applyProtection="1">
      <alignment horizontal="center" vertical="center"/>
      <protection/>
    </xf>
    <xf numFmtId="167" fontId="50" fillId="0" borderId="25" xfId="97" applyNumberFormat="1" applyFont="1" applyFill="1" applyBorder="1" applyAlignment="1" applyProtection="1">
      <alignment horizontal="center" vertical="center" wrapText="1"/>
      <protection/>
    </xf>
    <xf numFmtId="167" fontId="28" fillId="0" borderId="0" xfId="97" applyNumberFormat="1" applyFont="1" applyFill="1" applyAlignment="1" applyProtection="1">
      <alignment horizontal="center" vertical="center"/>
      <protection/>
    </xf>
    <xf numFmtId="167" fontId="54" fillId="0" borderId="20" xfId="97" applyNumberFormat="1" applyFont="1" applyFill="1" applyBorder="1" applyAlignment="1" applyProtection="1">
      <alignment horizontal="center" vertical="center" wrapText="1"/>
      <protection/>
    </xf>
    <xf numFmtId="167" fontId="54" fillId="0" borderId="76" xfId="97" applyNumberFormat="1" applyFont="1" applyFill="1" applyBorder="1" applyAlignment="1" applyProtection="1">
      <alignment horizontal="center" vertical="center" wrapText="1"/>
      <protection/>
    </xf>
    <xf numFmtId="167" fontId="54" fillId="0" borderId="63" xfId="97" applyNumberFormat="1" applyFont="1" applyFill="1" applyBorder="1" applyAlignment="1" applyProtection="1">
      <alignment horizontal="center" vertical="center" wrapText="1"/>
      <protection/>
    </xf>
    <xf numFmtId="167" fontId="54" fillId="0" borderId="48" xfId="97" applyNumberFormat="1" applyFont="1" applyFill="1" applyBorder="1" applyAlignment="1" applyProtection="1">
      <alignment horizontal="center" vertical="center" wrapText="1"/>
      <protection/>
    </xf>
    <xf numFmtId="167" fontId="54" fillId="0" borderId="78" xfId="97" applyNumberFormat="1" applyFont="1" applyFill="1" applyBorder="1" applyAlignment="1" applyProtection="1">
      <alignment horizontal="center" vertical="center" wrapText="1"/>
      <protection/>
    </xf>
    <xf numFmtId="167" fontId="28" fillId="0" borderId="0" xfId="97" applyNumberFormat="1" applyFont="1" applyFill="1" applyAlignment="1" applyProtection="1">
      <alignment horizontal="center" vertical="center" wrapText="1"/>
      <protection/>
    </xf>
    <xf numFmtId="167" fontId="54" fillId="0" borderId="76" xfId="97" applyNumberFormat="1" applyFont="1" applyFill="1" applyBorder="1" applyAlignment="1" applyProtection="1">
      <alignment horizontal="left" vertical="center" wrapText="1" indent="1"/>
      <protection/>
    </xf>
    <xf numFmtId="49" fontId="109" fillId="0" borderId="23" xfId="97" applyNumberFormat="1" applyFont="1" applyFill="1" applyBorder="1" applyAlignment="1" applyProtection="1">
      <alignment horizontal="center" vertical="center" wrapText="1"/>
      <protection locked="0"/>
    </xf>
    <xf numFmtId="167" fontId="109" fillId="0" borderId="76" xfId="97" applyNumberFormat="1" applyFont="1" applyFill="1" applyBorder="1" applyAlignment="1" applyProtection="1">
      <alignment vertical="center" wrapText="1"/>
      <protection/>
    </xf>
    <xf numFmtId="167" fontId="109" fillId="0" borderId="22" xfId="97" applyNumberFormat="1" applyFont="1" applyFill="1" applyBorder="1" applyAlignment="1" applyProtection="1">
      <alignment vertical="center" wrapText="1"/>
      <protection/>
    </xf>
    <xf numFmtId="167" fontId="109" fillId="0" borderId="23" xfId="97" applyNumberFormat="1" applyFont="1" applyFill="1" applyBorder="1" applyAlignment="1" applyProtection="1">
      <alignment vertical="center" wrapText="1"/>
      <protection/>
    </xf>
    <xf numFmtId="167" fontId="109" fillId="0" borderId="48" xfId="97" applyNumberFormat="1" applyFont="1" applyFill="1" applyBorder="1" applyAlignment="1" applyProtection="1">
      <alignment vertical="center" wrapText="1"/>
      <protection/>
    </xf>
    <xf numFmtId="167" fontId="46" fillId="0" borderId="76" xfId="97" applyNumberFormat="1" applyFont="1" applyFill="1" applyBorder="1" applyAlignment="1" applyProtection="1">
      <alignment vertical="center" wrapText="1"/>
      <protection/>
    </xf>
    <xf numFmtId="167" fontId="46" fillId="0" borderId="77" xfId="97" applyNumberFormat="1" applyFont="1" applyFill="1" applyBorder="1" applyAlignment="1" applyProtection="1">
      <alignment horizontal="left" vertical="center" wrapText="1" indent="1"/>
      <protection locked="0"/>
    </xf>
    <xf numFmtId="49" fontId="109" fillId="0" borderId="32" xfId="97" applyNumberFormat="1" applyFont="1" applyFill="1" applyBorder="1" applyAlignment="1" applyProtection="1">
      <alignment horizontal="center" vertical="center" wrapText="1"/>
      <protection locked="0"/>
    </xf>
    <xf numFmtId="167" fontId="109" fillId="0" borderId="77" xfId="97" applyNumberFormat="1" applyFont="1" applyFill="1" applyBorder="1" applyAlignment="1" applyProtection="1">
      <alignment vertical="center" wrapText="1"/>
      <protection locked="0"/>
    </xf>
    <xf numFmtId="167" fontId="109" fillId="0" borderId="21" xfId="97" applyNumberFormat="1" applyFont="1" applyFill="1" applyBorder="1" applyAlignment="1" applyProtection="1">
      <alignment vertical="center" wrapText="1"/>
      <protection locked="0"/>
    </xf>
    <xf numFmtId="167" fontId="109" fillId="0" borderId="32" xfId="97" applyNumberFormat="1" applyFont="1" applyFill="1" applyBorder="1" applyAlignment="1" applyProtection="1">
      <alignment vertical="center" wrapText="1"/>
      <protection locked="0"/>
    </xf>
    <xf numFmtId="167" fontId="109" fillId="0" borderId="33" xfId="97" applyNumberFormat="1" applyFont="1" applyFill="1" applyBorder="1" applyAlignment="1" applyProtection="1">
      <alignment vertical="center" wrapText="1"/>
      <protection locked="0"/>
    </xf>
    <xf numFmtId="167" fontId="46" fillId="0" borderId="77" xfId="97" applyNumberFormat="1" applyFont="1" applyFill="1" applyBorder="1" applyAlignment="1" applyProtection="1">
      <alignment vertical="center" wrapText="1"/>
      <protection/>
    </xf>
    <xf numFmtId="167" fontId="46" fillId="0" borderId="78" xfId="97" applyNumberFormat="1" applyFont="1" applyFill="1" applyBorder="1" applyAlignment="1" applyProtection="1">
      <alignment horizontal="left" vertical="center" wrapText="1" indent="1"/>
      <protection/>
    </xf>
    <xf numFmtId="167" fontId="54" fillId="0" borderId="76" xfId="97" applyNumberFormat="1" applyFont="1" applyFill="1" applyBorder="1" applyAlignment="1" applyProtection="1">
      <alignment horizontal="left" vertical="center" wrapText="1" indent="1"/>
      <protection/>
    </xf>
    <xf numFmtId="49" fontId="109" fillId="0" borderId="26" xfId="97" applyNumberFormat="1" applyFont="1" applyFill="1" applyBorder="1" applyAlignment="1" applyProtection="1">
      <alignment horizontal="center" vertical="center" wrapText="1"/>
      <protection locked="0"/>
    </xf>
    <xf numFmtId="167" fontId="109" fillId="0" borderId="96" xfId="97" applyNumberFormat="1" applyFont="1" applyFill="1" applyBorder="1" applyAlignment="1" applyProtection="1">
      <alignment vertical="center" wrapText="1"/>
      <protection/>
    </xf>
    <xf numFmtId="167" fontId="109" fillId="0" borderId="26" xfId="97" applyNumberFormat="1" applyFont="1" applyFill="1" applyBorder="1" applyAlignment="1" applyProtection="1">
      <alignment vertical="center" wrapText="1"/>
      <protection/>
    </xf>
    <xf numFmtId="167" fontId="109" fillId="0" borderId="27" xfId="97" applyNumberFormat="1" applyFont="1" applyFill="1" applyBorder="1" applyAlignment="1" applyProtection="1">
      <alignment vertical="center" wrapText="1"/>
      <protection/>
    </xf>
    <xf numFmtId="167" fontId="109" fillId="0" borderId="50" xfId="97" applyNumberFormat="1" applyFont="1" applyFill="1" applyBorder="1" applyAlignment="1" applyProtection="1">
      <alignment vertical="center" wrapText="1"/>
      <protection/>
    </xf>
    <xf numFmtId="167" fontId="46" fillId="0" borderId="96" xfId="97" applyNumberFormat="1" applyFont="1" applyFill="1" applyBorder="1" applyAlignment="1" applyProtection="1">
      <alignment vertical="center" wrapText="1"/>
      <protection/>
    </xf>
    <xf numFmtId="49" fontId="109" fillId="0" borderId="46" xfId="97" applyNumberFormat="1" applyFont="1" applyFill="1" applyBorder="1" applyAlignment="1" applyProtection="1">
      <alignment horizontal="center" vertical="center" wrapText="1"/>
      <protection locked="0"/>
    </xf>
    <xf numFmtId="167" fontId="109" fillId="0" borderId="97" xfId="97" applyNumberFormat="1" applyFont="1" applyFill="1" applyBorder="1" applyAlignment="1" applyProtection="1">
      <alignment vertical="center" wrapText="1"/>
      <protection locked="0"/>
    </xf>
    <xf numFmtId="167" fontId="109" fillId="0" borderId="31" xfId="97" applyNumberFormat="1" applyFont="1" applyFill="1" applyBorder="1" applyAlignment="1" applyProtection="1">
      <alignment vertical="center" wrapText="1"/>
      <protection locked="0"/>
    </xf>
    <xf numFmtId="167" fontId="109" fillId="0" borderId="24" xfId="97" applyNumberFormat="1" applyFont="1" applyFill="1" applyBorder="1" applyAlignment="1" applyProtection="1">
      <alignment vertical="center" wrapText="1"/>
      <protection locked="0"/>
    </xf>
    <xf numFmtId="167" fontId="109" fillId="0" borderId="25" xfId="97" applyNumberFormat="1" applyFont="1" applyFill="1" applyBorder="1" applyAlignment="1" applyProtection="1">
      <alignment vertical="center" wrapText="1"/>
      <protection locked="0"/>
    </xf>
    <xf numFmtId="167" fontId="46" fillId="0" borderId="97" xfId="97" applyNumberFormat="1" applyFont="1" applyFill="1" applyBorder="1" applyAlignment="1" applyProtection="1">
      <alignment vertical="center" wrapText="1"/>
      <protection/>
    </xf>
    <xf numFmtId="167" fontId="109" fillId="51" borderId="63" xfId="97" applyNumberFormat="1" applyFont="1" applyFill="1" applyBorder="1" applyAlignment="1" applyProtection="1">
      <alignment horizontal="left" vertical="center" wrapText="1" indent="2"/>
      <protection/>
    </xf>
    <xf numFmtId="0" fontId="78" fillId="0" borderId="0" xfId="109" applyFill="1" applyProtection="1">
      <alignment/>
      <protection/>
    </xf>
    <xf numFmtId="0" fontId="0" fillId="52" borderId="0" xfId="95" applyFill="1">
      <alignment/>
      <protection/>
    </xf>
    <xf numFmtId="0" fontId="29" fillId="52" borderId="26" xfId="95" applyFont="1" applyFill="1" applyBorder="1" applyAlignment="1">
      <alignment horizontal="center" vertical="center"/>
      <protection/>
    </xf>
    <xf numFmtId="0" fontId="0" fillId="52" borderId="21" xfId="95" applyFont="1" applyFill="1" applyBorder="1" applyAlignment="1">
      <alignment vertical="center"/>
      <protection/>
    </xf>
    <xf numFmtId="0" fontId="29" fillId="52" borderId="31" xfId="95" applyFont="1" applyFill="1" applyBorder="1" applyAlignment="1">
      <alignment vertical="center"/>
      <protection/>
    </xf>
    <xf numFmtId="0" fontId="110" fillId="0" borderId="0" xfId="109" applyFont="1" applyFill="1" applyProtection="1">
      <alignment/>
      <protection/>
    </xf>
    <xf numFmtId="0" fontId="20" fillId="0" borderId="0" xfId="99">
      <alignment/>
      <protection/>
    </xf>
    <xf numFmtId="0" fontId="73" fillId="0" borderId="0" xfId="109" applyFont="1" applyFill="1" applyAlignment="1" applyProtection="1">
      <alignment horizontal="center"/>
      <protection/>
    </xf>
    <xf numFmtId="0" fontId="20" fillId="0" borderId="0" xfId="99" applyFont="1">
      <alignment/>
      <protection/>
    </xf>
    <xf numFmtId="0" fontId="112" fillId="0" borderId="98" xfId="109" applyFont="1" applyFill="1" applyBorder="1" applyAlignment="1" applyProtection="1">
      <alignment horizontal="center" vertical="center" wrapText="1"/>
      <protection/>
    </xf>
    <xf numFmtId="0" fontId="112" fillId="0" borderId="99" xfId="109" applyFont="1" applyFill="1" applyBorder="1" applyAlignment="1" applyProtection="1">
      <alignment horizontal="center" vertical="center" wrapText="1"/>
      <protection/>
    </xf>
    <xf numFmtId="0" fontId="78" fillId="0" borderId="0" xfId="109" applyFill="1" applyAlignment="1" applyProtection="1">
      <alignment horizontal="center" vertical="center"/>
      <protection/>
    </xf>
    <xf numFmtId="0" fontId="111" fillId="0" borderId="100" xfId="109" applyFont="1" applyFill="1" applyBorder="1" applyAlignment="1" applyProtection="1">
      <alignment vertical="center" wrapText="1"/>
      <protection/>
    </xf>
    <xf numFmtId="176" fontId="29" fillId="0" borderId="101" xfId="108" applyNumberFormat="1" applyFont="1" applyFill="1" applyBorder="1" applyAlignment="1" applyProtection="1">
      <alignment horizontal="center" vertical="center"/>
      <protection/>
    </xf>
    <xf numFmtId="177" fontId="111" fillId="0" borderId="101" xfId="109" applyNumberFormat="1" applyFont="1" applyFill="1" applyBorder="1" applyAlignment="1" applyProtection="1">
      <alignment horizontal="right" vertical="center" wrapText="1"/>
      <protection locked="0"/>
    </xf>
    <xf numFmtId="0" fontId="78" fillId="0" borderId="0" xfId="109" applyFill="1" applyAlignment="1" applyProtection="1">
      <alignment vertical="center"/>
      <protection/>
    </xf>
    <xf numFmtId="0" fontId="113" fillId="0" borderId="102" xfId="109" applyFont="1" applyFill="1" applyBorder="1" applyAlignment="1" applyProtection="1">
      <alignment horizontal="left" vertical="center" wrapText="1" indent="1"/>
      <protection/>
    </xf>
    <xf numFmtId="176" fontId="60" fillId="0" borderId="103" xfId="108" applyNumberFormat="1" applyFont="1" applyFill="1" applyBorder="1" applyAlignment="1" applyProtection="1">
      <alignment horizontal="center" vertical="center"/>
      <protection/>
    </xf>
    <xf numFmtId="177" fontId="73" fillId="0" borderId="103" xfId="109" applyNumberFormat="1" applyFont="1" applyFill="1" applyBorder="1" applyAlignment="1" applyProtection="1">
      <alignment horizontal="right" vertical="center" wrapText="1"/>
      <protection locked="0"/>
    </xf>
    <xf numFmtId="0" fontId="111" fillId="0" borderId="102" xfId="109" applyFont="1" applyFill="1" applyBorder="1" applyAlignment="1" applyProtection="1">
      <alignment vertical="center" wrapText="1"/>
      <protection/>
    </xf>
    <xf numFmtId="176" fontId="29" fillId="0" borderId="103" xfId="108" applyNumberFormat="1" applyFont="1" applyFill="1" applyBorder="1" applyAlignment="1" applyProtection="1">
      <alignment horizontal="center" vertical="center"/>
      <protection/>
    </xf>
    <xf numFmtId="177" fontId="111" fillId="0" borderId="103" xfId="109" applyNumberFormat="1" applyFont="1" applyFill="1" applyBorder="1" applyAlignment="1" applyProtection="1">
      <alignment horizontal="right" vertical="center" wrapText="1"/>
      <protection/>
    </xf>
    <xf numFmtId="177" fontId="111" fillId="0" borderId="103" xfId="109" applyNumberFormat="1" applyFont="1" applyFill="1" applyBorder="1" applyAlignment="1" applyProtection="1">
      <alignment horizontal="right" vertical="center" wrapText="1"/>
      <protection/>
    </xf>
    <xf numFmtId="177" fontId="73" fillId="0" borderId="103" xfId="109" applyNumberFormat="1" applyFont="1" applyFill="1" applyBorder="1" applyAlignment="1" applyProtection="1">
      <alignment horizontal="right" vertical="center" wrapText="1"/>
      <protection/>
    </xf>
    <xf numFmtId="177" fontId="111" fillId="0" borderId="103" xfId="109" applyNumberFormat="1" applyFont="1" applyFill="1" applyBorder="1" applyAlignment="1" applyProtection="1">
      <alignment horizontal="right" vertical="center" wrapText="1"/>
      <protection locked="0"/>
    </xf>
    <xf numFmtId="177" fontId="111" fillId="53" borderId="103" xfId="109" applyNumberFormat="1" applyFont="1" applyFill="1" applyBorder="1" applyAlignment="1" applyProtection="1">
      <alignment horizontal="right" vertical="center" wrapText="1"/>
      <protection locked="0"/>
    </xf>
    <xf numFmtId="177" fontId="111" fillId="53" borderId="103" xfId="109" applyNumberFormat="1" applyFont="1" applyFill="1" applyBorder="1" applyAlignment="1" applyProtection="1">
      <alignment horizontal="right" vertical="center" wrapText="1"/>
      <protection/>
    </xf>
    <xf numFmtId="0" fontId="111" fillId="0" borderId="98" xfId="109" applyFont="1" applyFill="1" applyBorder="1" applyAlignment="1" applyProtection="1">
      <alignment vertical="center" wrapText="1"/>
      <protection/>
    </xf>
    <xf numFmtId="177" fontId="111" fillId="0" borderId="99" xfId="109" applyNumberFormat="1" applyFont="1" applyFill="1" applyBorder="1" applyAlignment="1" applyProtection="1">
      <alignment horizontal="right" vertical="center" wrapText="1"/>
      <protection/>
    </xf>
    <xf numFmtId="0" fontId="73" fillId="0" borderId="0" xfId="109" applyFont="1" applyFill="1" applyProtection="1">
      <alignment/>
      <protection/>
    </xf>
    <xf numFmtId="0" fontId="114" fillId="0" borderId="0" xfId="109" applyFont="1" applyFill="1" applyProtection="1">
      <alignment/>
      <protection/>
    </xf>
    <xf numFmtId="0" fontId="78" fillId="0" borderId="0" xfId="109" applyFont="1" applyFill="1" applyAlignment="1" applyProtection="1">
      <alignment horizontal="center"/>
      <protection/>
    </xf>
    <xf numFmtId="0" fontId="27" fillId="0" borderId="0" xfId="99" applyFont="1">
      <alignment/>
      <protection/>
    </xf>
    <xf numFmtId="0" fontId="115" fillId="0" borderId="98" xfId="109" applyFont="1" applyFill="1" applyBorder="1" applyAlignment="1" applyProtection="1">
      <alignment horizontal="center" vertical="center" wrapText="1"/>
      <protection/>
    </xf>
    <xf numFmtId="0" fontId="115" fillId="0" borderId="99" xfId="109" applyFont="1" applyFill="1" applyBorder="1" applyAlignment="1" applyProtection="1">
      <alignment horizontal="center" vertical="center" wrapText="1"/>
      <protection/>
    </xf>
    <xf numFmtId="0" fontId="71" fillId="0" borderId="100" xfId="109" applyFont="1" applyFill="1" applyBorder="1" applyAlignment="1" applyProtection="1">
      <alignment vertical="center" wrapText="1"/>
      <protection/>
    </xf>
    <xf numFmtId="176" fontId="47" fillId="0" borderId="101" xfId="108" applyNumberFormat="1" applyFont="1" applyFill="1" applyBorder="1" applyAlignment="1" applyProtection="1">
      <alignment horizontal="center" vertical="center"/>
      <protection/>
    </xf>
    <xf numFmtId="177" fontId="71" fillId="0" borderId="101" xfId="109" applyNumberFormat="1" applyFont="1" applyFill="1" applyBorder="1" applyAlignment="1" applyProtection="1">
      <alignment horizontal="right" vertical="center" wrapText="1"/>
      <protection locked="0"/>
    </xf>
    <xf numFmtId="0" fontId="116" fillId="0" borderId="102" xfId="109" applyFont="1" applyFill="1" applyBorder="1" applyAlignment="1" applyProtection="1">
      <alignment horizontal="left" vertical="center" wrapText="1" indent="1"/>
      <protection/>
    </xf>
    <xf numFmtId="176" fontId="31" fillId="0" borderId="103" xfId="108" applyNumberFormat="1" applyFont="1" applyFill="1" applyBorder="1" applyAlignment="1" applyProtection="1">
      <alignment horizontal="center" vertical="center"/>
      <protection/>
    </xf>
    <xf numFmtId="177" fontId="78" fillId="0" borderId="103" xfId="109" applyNumberFormat="1" applyFont="1" applyFill="1" applyBorder="1" applyAlignment="1" applyProtection="1">
      <alignment horizontal="right" vertical="center" wrapText="1"/>
      <protection locked="0"/>
    </xf>
    <xf numFmtId="0" fontId="71" fillId="0" borderId="102" xfId="109" applyFont="1" applyFill="1" applyBorder="1" applyAlignment="1" applyProtection="1">
      <alignment vertical="center" wrapText="1"/>
      <protection/>
    </xf>
    <xf numFmtId="176" fontId="47" fillId="0" borderId="103" xfId="108" applyNumberFormat="1" applyFont="1" applyFill="1" applyBorder="1" applyAlignment="1" applyProtection="1">
      <alignment horizontal="center" vertical="center"/>
      <protection/>
    </xf>
    <xf numFmtId="177" fontId="71" fillId="0" borderId="103" xfId="109" applyNumberFormat="1" applyFont="1" applyFill="1" applyBorder="1" applyAlignment="1" applyProtection="1">
      <alignment horizontal="right" vertical="center" wrapText="1"/>
      <protection/>
    </xf>
    <xf numFmtId="177" fontId="71" fillId="0" borderId="103" xfId="109" applyNumberFormat="1" applyFont="1" applyFill="1" applyBorder="1" applyAlignment="1" applyProtection="1">
      <alignment horizontal="right" vertical="center" wrapText="1"/>
      <protection/>
    </xf>
    <xf numFmtId="177" fontId="78" fillId="0" borderId="103" xfId="109" applyNumberFormat="1" applyFont="1" applyFill="1" applyBorder="1" applyAlignment="1" applyProtection="1">
      <alignment horizontal="right" vertical="center" wrapText="1"/>
      <protection/>
    </xf>
    <xf numFmtId="177" fontId="71" fillId="0" borderId="103" xfId="109" applyNumberFormat="1" applyFont="1" applyFill="1" applyBorder="1" applyAlignment="1" applyProtection="1">
      <alignment horizontal="right" vertical="center" wrapText="1"/>
      <protection locked="0"/>
    </xf>
    <xf numFmtId="177" fontId="71" fillId="53" borderId="103" xfId="109" applyNumberFormat="1" applyFont="1" applyFill="1" applyBorder="1" applyAlignment="1" applyProtection="1">
      <alignment horizontal="right" vertical="center" wrapText="1"/>
      <protection locked="0"/>
    </xf>
    <xf numFmtId="177" fontId="71" fillId="53" borderId="103" xfId="109" applyNumberFormat="1" applyFont="1" applyFill="1" applyBorder="1" applyAlignment="1" applyProtection="1">
      <alignment horizontal="right" vertical="center" wrapText="1"/>
      <protection/>
    </xf>
    <xf numFmtId="0" fontId="71" fillId="0" borderId="98" xfId="109" applyFont="1" applyFill="1" applyBorder="1" applyAlignment="1" applyProtection="1">
      <alignment vertical="center" wrapText="1"/>
      <protection/>
    </xf>
    <xf numFmtId="177" fontId="71" fillId="0" borderId="99" xfId="109" applyNumberFormat="1" applyFont="1" applyFill="1" applyBorder="1" applyAlignment="1" applyProtection="1">
      <alignment horizontal="right" vertical="center" wrapText="1"/>
      <protection/>
    </xf>
    <xf numFmtId="0" fontId="78" fillId="0" borderId="0" xfId="109" applyFont="1" applyFill="1" applyProtection="1">
      <alignment/>
      <protection/>
    </xf>
    <xf numFmtId="0" fontId="78" fillId="0" borderId="0" xfId="109" applyFill="1">
      <alignment/>
      <protection/>
    </xf>
    <xf numFmtId="0" fontId="78" fillId="0" borderId="0" xfId="109" applyFont="1" applyFill="1" applyAlignment="1">
      <alignment horizontal="center"/>
      <protection/>
    </xf>
    <xf numFmtId="0" fontId="71" fillId="0" borderId="104" xfId="109" applyFont="1" applyFill="1" applyBorder="1" applyAlignment="1">
      <alignment horizontal="center" vertical="center"/>
      <protection/>
    </xf>
    <xf numFmtId="0" fontId="63" fillId="0" borderId="105" xfId="108" applyFont="1" applyFill="1" applyBorder="1" applyAlignment="1" applyProtection="1">
      <alignment horizontal="center" vertical="center" textRotation="90"/>
      <protection/>
    </xf>
    <xf numFmtId="0" fontId="71" fillId="0" borderId="105" xfId="109" applyFont="1" applyFill="1" applyBorder="1" applyAlignment="1">
      <alignment horizontal="center" vertical="center" wrapText="1"/>
      <protection/>
    </xf>
    <xf numFmtId="0" fontId="71" fillId="0" borderId="106" xfId="109" applyFont="1" applyFill="1" applyBorder="1" applyAlignment="1">
      <alignment horizontal="center" vertical="center" wrapText="1"/>
      <protection/>
    </xf>
    <xf numFmtId="0" fontId="71" fillId="0" borderId="107" xfId="109" applyFont="1" applyFill="1" applyBorder="1" applyAlignment="1">
      <alignment horizontal="center" vertical="center" wrapText="1"/>
      <protection/>
    </xf>
    <xf numFmtId="0" fontId="71" fillId="0" borderId="108" xfId="109" applyFont="1" applyFill="1" applyBorder="1" applyAlignment="1">
      <alignment horizontal="center" vertical="center"/>
      <protection/>
    </xf>
    <xf numFmtId="0" fontId="71" fillId="0" borderId="109" xfId="109" applyFont="1" applyFill="1" applyBorder="1" applyAlignment="1">
      <alignment horizontal="center" vertical="center" wrapText="1"/>
      <protection/>
    </xf>
    <xf numFmtId="0" fontId="71" fillId="0" borderId="110" xfId="109" applyFont="1" applyFill="1" applyBorder="1" applyAlignment="1">
      <alignment horizontal="center" vertical="center" wrapText="1"/>
      <protection/>
    </xf>
    <xf numFmtId="0" fontId="78" fillId="0" borderId="111" xfId="109" applyFont="1" applyFill="1" applyBorder="1">
      <alignment/>
      <protection/>
    </xf>
    <xf numFmtId="0" fontId="78" fillId="0" borderId="102" xfId="109" applyFont="1" applyFill="1" applyBorder="1" applyProtection="1">
      <alignment/>
      <protection locked="0"/>
    </xf>
    <xf numFmtId="0" fontId="78" fillId="0" borderId="112" xfId="109" applyFont="1" applyFill="1" applyBorder="1" applyAlignment="1">
      <alignment horizontal="right" indent="1"/>
      <protection/>
    </xf>
    <xf numFmtId="3" fontId="78" fillId="0" borderId="112" xfId="109" applyNumberFormat="1" applyFont="1" applyFill="1" applyBorder="1" applyProtection="1">
      <alignment/>
      <protection locked="0"/>
    </xf>
    <xf numFmtId="3" fontId="78" fillId="0" borderId="0" xfId="99" applyNumberFormat="1" applyFont="1">
      <alignment/>
      <protection/>
    </xf>
    <xf numFmtId="3" fontId="78" fillId="0" borderId="113" xfId="109" applyNumberFormat="1" applyFont="1" applyFill="1" applyBorder="1">
      <alignment/>
      <protection/>
    </xf>
    <xf numFmtId="0" fontId="78" fillId="0" borderId="103" xfId="109" applyFont="1" applyFill="1" applyBorder="1" applyAlignment="1">
      <alignment horizontal="center" indent="1"/>
      <protection/>
    </xf>
    <xf numFmtId="3" fontId="78" fillId="0" borderId="103" xfId="109" applyNumberFormat="1" applyFont="1" applyFill="1" applyBorder="1" applyProtection="1">
      <alignment/>
      <protection locked="0"/>
    </xf>
    <xf numFmtId="3" fontId="78" fillId="0" borderId="114" xfId="109" applyNumberFormat="1" applyFont="1" applyFill="1" applyBorder="1" applyProtection="1">
      <alignment/>
      <protection locked="0"/>
    </xf>
    <xf numFmtId="3" fontId="78" fillId="0" borderId="115" xfId="109" applyNumberFormat="1" applyFont="1" applyFill="1" applyBorder="1">
      <alignment/>
      <protection/>
    </xf>
    <xf numFmtId="0" fontId="78" fillId="0" borderId="112" xfId="109" applyFont="1" applyFill="1" applyBorder="1" applyAlignment="1">
      <alignment horizontal="center" indent="1"/>
      <protection/>
    </xf>
    <xf numFmtId="0" fontId="78" fillId="0" borderId="116" xfId="109" applyFont="1" applyFill="1" applyBorder="1" applyProtection="1">
      <alignment/>
      <protection locked="0"/>
    </xf>
    <xf numFmtId="0" fontId="78" fillId="0" borderId="117" xfId="109" applyFont="1" applyFill="1" applyBorder="1" applyAlignment="1">
      <alignment horizontal="right" indent="1"/>
      <protection/>
    </xf>
    <xf numFmtId="3" fontId="78" fillId="0" borderId="117" xfId="109" applyNumberFormat="1" applyFont="1" applyFill="1" applyBorder="1" applyProtection="1">
      <alignment/>
      <protection locked="0"/>
    </xf>
    <xf numFmtId="3" fontId="78" fillId="0" borderId="118" xfId="109" applyNumberFormat="1" applyFont="1" applyFill="1" applyBorder="1" applyProtection="1">
      <alignment/>
      <protection locked="0"/>
    </xf>
    <xf numFmtId="3" fontId="78" fillId="0" borderId="119" xfId="109" applyNumberFormat="1" applyFont="1" applyFill="1" applyBorder="1">
      <alignment/>
      <protection/>
    </xf>
    <xf numFmtId="0" fontId="71" fillId="0" borderId="108" xfId="109" applyFont="1" applyFill="1" applyBorder="1" applyProtection="1">
      <alignment/>
      <protection locked="0"/>
    </xf>
    <xf numFmtId="0" fontId="71" fillId="0" borderId="109" xfId="109" applyFont="1" applyFill="1" applyBorder="1" applyAlignment="1">
      <alignment horizontal="right" indent="1"/>
      <protection/>
    </xf>
    <xf numFmtId="3" fontId="71" fillId="0" borderId="109" xfId="109" applyNumberFormat="1" applyFont="1" applyFill="1" applyBorder="1" applyProtection="1">
      <alignment/>
      <protection locked="0"/>
    </xf>
    <xf numFmtId="3" fontId="71" fillId="0" borderId="111" xfId="109" applyNumberFormat="1" applyFont="1" applyFill="1" applyBorder="1">
      <alignment/>
      <protection/>
    </xf>
    <xf numFmtId="0" fontId="78" fillId="0" borderId="120" xfId="109" applyFont="1" applyFill="1" applyBorder="1" applyProtection="1">
      <alignment/>
      <protection locked="0"/>
    </xf>
    <xf numFmtId="3" fontId="78" fillId="0" borderId="121" xfId="109" applyNumberFormat="1" applyFont="1" applyFill="1" applyBorder="1" applyProtection="1">
      <alignment/>
      <protection locked="0"/>
    </xf>
    <xf numFmtId="0" fontId="78" fillId="0" borderId="103" xfId="109" applyFont="1" applyFill="1" applyBorder="1" applyAlignment="1">
      <alignment horizontal="right" indent="1"/>
      <protection/>
    </xf>
    <xf numFmtId="0" fontId="78" fillId="0" borderId="115" xfId="109" applyFont="1" applyFill="1" applyBorder="1">
      <alignment/>
      <protection/>
    </xf>
    <xf numFmtId="0" fontId="78" fillId="0" borderId="119" xfId="109" applyFont="1" applyFill="1" applyBorder="1">
      <alignment/>
      <protection/>
    </xf>
    <xf numFmtId="0" fontId="78" fillId="0" borderId="109" xfId="109" applyFont="1" applyFill="1" applyBorder="1" applyAlignment="1">
      <alignment horizontal="right" indent="1"/>
      <protection/>
    </xf>
    <xf numFmtId="3" fontId="78" fillId="0" borderId="109" xfId="109" applyNumberFormat="1" applyFont="1" applyFill="1" applyBorder="1" applyProtection="1">
      <alignment/>
      <protection locked="0"/>
    </xf>
    <xf numFmtId="178" fontId="47" fillId="0" borderId="110" xfId="108" applyNumberFormat="1" applyFont="1" applyFill="1" applyBorder="1" applyAlignment="1" applyProtection="1">
      <alignment vertical="center"/>
      <protection/>
    </xf>
    <xf numFmtId="0" fontId="78" fillId="0" borderId="113" xfId="109" applyFont="1" applyFill="1" applyBorder="1">
      <alignment/>
      <protection/>
    </xf>
    <xf numFmtId="3" fontId="78" fillId="0" borderId="122" xfId="109" applyNumberFormat="1" applyFont="1" applyFill="1" applyBorder="1">
      <alignment/>
      <protection/>
    </xf>
    <xf numFmtId="179" fontId="47" fillId="0" borderId="110" xfId="108" applyNumberFormat="1" applyFont="1" applyFill="1" applyBorder="1" applyAlignment="1" applyProtection="1">
      <alignment vertical="center"/>
      <protection/>
    </xf>
    <xf numFmtId="178" fontId="47" fillId="0" borderId="111" xfId="108" applyNumberFormat="1" applyFont="1" applyFill="1" applyBorder="1" applyAlignment="1" applyProtection="1">
      <alignment vertical="center"/>
      <protection/>
    </xf>
    <xf numFmtId="0" fontId="117" fillId="0" borderId="0" xfId="109" applyFont="1" applyFill="1">
      <alignment/>
      <protection/>
    </xf>
    <xf numFmtId="0" fontId="78" fillId="0" borderId="0" xfId="109" applyFont="1" applyFill="1">
      <alignment/>
      <protection/>
    </xf>
    <xf numFmtId="3" fontId="47" fillId="0" borderId="110" xfId="108" applyNumberFormat="1" applyFont="1" applyFill="1" applyBorder="1" applyAlignment="1" applyProtection="1">
      <alignment horizontal="right" vertical="center"/>
      <protection/>
    </xf>
    <xf numFmtId="0" fontId="20" fillId="0" borderId="32" xfId="96" applyFont="1" applyFill="1" applyBorder="1" applyAlignment="1">
      <alignment horizontal="left" vertical="top" wrapText="1"/>
      <protection/>
    </xf>
    <xf numFmtId="3" fontId="20" fillId="0" borderId="32" xfId="96" applyNumberFormat="1" applyFont="1" applyFill="1" applyBorder="1" applyAlignment="1">
      <alignment horizontal="right" vertical="top" wrapText="1"/>
      <protection/>
    </xf>
    <xf numFmtId="3" fontId="20" fillId="0" borderId="32" xfId="0" applyNumberFormat="1" applyFont="1" applyFill="1" applyBorder="1" applyAlignment="1">
      <alignment horizontal="right" vertical="top" wrapText="1"/>
    </xf>
    <xf numFmtId="0" fontId="89" fillId="0" borderId="32" xfId="96" applyFont="1" applyFill="1" applyBorder="1" applyAlignment="1">
      <alignment horizontal="left" vertical="top" wrapText="1"/>
      <protection/>
    </xf>
    <xf numFmtId="3" fontId="89" fillId="0" borderId="32" xfId="96" applyNumberFormat="1" applyFont="1" applyFill="1" applyBorder="1" applyAlignment="1">
      <alignment horizontal="right" vertical="top" wrapText="1"/>
      <protection/>
    </xf>
    <xf numFmtId="3" fontId="89" fillId="0" borderId="32" xfId="0" applyNumberFormat="1" applyFont="1" applyFill="1" applyBorder="1" applyAlignment="1">
      <alignment horizontal="right" vertical="top" wrapText="1"/>
    </xf>
    <xf numFmtId="0" fontId="11" fillId="0" borderId="0" xfId="96" applyFont="1" applyFill="1">
      <alignment/>
      <protection/>
    </xf>
    <xf numFmtId="0" fontId="20" fillId="0" borderId="32" xfId="96" applyFont="1" applyFill="1" applyBorder="1" applyAlignment="1">
      <alignment horizontal="center" vertical="top" wrapText="1"/>
      <protection/>
    </xf>
    <xf numFmtId="0" fontId="11" fillId="0" borderId="32" xfId="96" applyFont="1" applyFill="1" applyBorder="1" applyAlignment="1">
      <alignment wrapText="1"/>
      <protection/>
    </xf>
    <xf numFmtId="0" fontId="11" fillId="0" borderId="0" xfId="96" applyFont="1" applyFill="1" applyAlignment="1">
      <alignment wrapText="1"/>
      <protection/>
    </xf>
    <xf numFmtId="0" fontId="89" fillId="0" borderId="32" xfId="96" applyFont="1" applyFill="1" applyBorder="1" applyAlignment="1">
      <alignment horizontal="center" vertical="center" wrapText="1"/>
      <protection/>
    </xf>
    <xf numFmtId="0" fontId="1" fillId="0" borderId="0" xfId="102">
      <alignment/>
      <protection/>
    </xf>
    <xf numFmtId="0" fontId="1" fillId="0" borderId="0" xfId="102" applyAlignment="1">
      <alignment wrapText="1"/>
      <protection/>
    </xf>
    <xf numFmtId="0" fontId="70" fillId="0" borderId="0" xfId="102" applyFont="1" applyAlignment="1">
      <alignment horizontal="right"/>
      <protection/>
    </xf>
    <xf numFmtId="0" fontId="87" fillId="0" borderId="0" xfId="102" applyFont="1" applyAlignment="1">
      <alignment horizontal="center"/>
      <protection/>
    </xf>
    <xf numFmtId="167" fontId="1" fillId="0" borderId="0" xfId="102" applyNumberFormat="1" applyAlignment="1">
      <alignment vertical="center" wrapText="1"/>
      <protection/>
    </xf>
    <xf numFmtId="167" fontId="28" fillId="0" borderId="27" xfId="102" applyNumberFormat="1" applyFont="1" applyBorder="1" applyAlignment="1">
      <alignment horizontal="center"/>
      <protection/>
    </xf>
    <xf numFmtId="167" fontId="28" fillId="0" borderId="27" xfId="102" applyNumberFormat="1" applyFont="1" applyBorder="1" applyAlignment="1">
      <alignment horizontal="center" wrapText="1"/>
      <protection/>
    </xf>
    <xf numFmtId="167" fontId="28" fillId="0" borderId="51" xfId="102" applyNumberFormat="1" applyFont="1" applyBorder="1" applyAlignment="1">
      <alignment horizontal="center" vertical="center" wrapText="1"/>
      <protection/>
    </xf>
    <xf numFmtId="167" fontId="28" fillId="0" borderId="51" xfId="102" applyNumberFormat="1" applyFont="1" applyBorder="1" applyAlignment="1">
      <alignment horizontal="center" vertical="center"/>
      <protection/>
    </xf>
    <xf numFmtId="167" fontId="29" fillId="0" borderId="20" xfId="102" applyNumberFormat="1" applyFont="1" applyBorder="1" applyAlignment="1">
      <alignment horizontal="center" vertical="center" wrapText="1"/>
      <protection/>
    </xf>
    <xf numFmtId="167" fontId="28" fillId="0" borderId="23" xfId="102" applyNumberFormat="1" applyFont="1" applyBorder="1" applyAlignment="1">
      <alignment vertical="center" wrapText="1"/>
      <protection/>
    </xf>
    <xf numFmtId="167" fontId="1" fillId="54" borderId="23" xfId="102" applyNumberFormat="1" applyFill="1" applyBorder="1" applyAlignment="1">
      <alignment vertical="center" wrapText="1"/>
      <protection/>
    </xf>
    <xf numFmtId="167" fontId="1" fillId="0" borderId="48" xfId="102" applyNumberFormat="1" applyBorder="1" applyAlignment="1">
      <alignment vertical="center" wrapText="1"/>
      <protection/>
    </xf>
    <xf numFmtId="167" fontId="29" fillId="0" borderId="30" xfId="102" applyNumberFormat="1" applyFont="1" applyBorder="1" applyAlignment="1">
      <alignment horizontal="center" vertical="center" wrapText="1"/>
      <protection/>
    </xf>
    <xf numFmtId="167" fontId="30" fillId="0" borderId="23" xfId="102" applyNumberFormat="1" applyFont="1" applyBorder="1" applyAlignment="1" applyProtection="1">
      <alignment vertical="center" wrapText="1"/>
      <protection locked="0"/>
    </xf>
    <xf numFmtId="0" fontId="67" fillId="0" borderId="23" xfId="102" applyFont="1" applyBorder="1" applyAlignment="1">
      <alignment horizontal="center" vertical="center" wrapText="1"/>
      <protection/>
    </xf>
    <xf numFmtId="169" fontId="1" fillId="0" borderId="23" xfId="102" applyNumberFormat="1" applyBorder="1" applyAlignment="1" applyProtection="1">
      <alignment vertical="center" wrapText="1"/>
      <protection locked="0"/>
    </xf>
    <xf numFmtId="167" fontId="1" fillId="0" borderId="33" xfId="102" applyNumberFormat="1" applyBorder="1" applyAlignment="1" applyProtection="1">
      <alignment vertical="center" wrapText="1"/>
      <protection locked="0"/>
    </xf>
    <xf numFmtId="3" fontId="6" fillId="0" borderId="48" xfId="102" applyNumberFormat="1" applyFont="1" applyBorder="1" applyAlignment="1">
      <alignment vertical="center" wrapText="1"/>
      <protection/>
    </xf>
    <xf numFmtId="167" fontId="29" fillId="0" borderId="26" xfId="102" applyNumberFormat="1" applyFont="1" applyBorder="1" applyAlignment="1">
      <alignment horizontal="center" vertical="center" wrapText="1"/>
      <protection/>
    </xf>
    <xf numFmtId="167" fontId="30" fillId="0" borderId="32" xfId="102" applyNumberFormat="1" applyFont="1" applyBorder="1" applyAlignment="1" applyProtection="1">
      <alignment vertical="center" wrapText="1"/>
      <protection locked="0"/>
    </xf>
    <xf numFmtId="14" fontId="1" fillId="0" borderId="32" xfId="102" applyNumberFormat="1" applyFont="1" applyBorder="1" applyAlignment="1" applyProtection="1">
      <alignment vertical="center" wrapText="1"/>
      <protection locked="0"/>
    </xf>
    <xf numFmtId="3" fontId="1" fillId="0" borderId="33" xfId="102" applyNumberFormat="1" applyBorder="1" applyAlignment="1" applyProtection="1">
      <alignment vertical="center" wrapText="1"/>
      <protection locked="0"/>
    </xf>
    <xf numFmtId="167" fontId="29" fillId="0" borderId="28" xfId="102" applyNumberFormat="1" applyFont="1" applyBorder="1" applyAlignment="1">
      <alignment horizontal="center" vertical="center" wrapText="1"/>
      <protection/>
    </xf>
    <xf numFmtId="14" fontId="1" fillId="0" borderId="35" xfId="102" applyNumberFormat="1" applyBorder="1" applyAlignment="1" applyProtection="1">
      <alignment vertical="center" wrapText="1"/>
      <protection locked="0"/>
    </xf>
    <xf numFmtId="3" fontId="1" fillId="0" borderId="61" xfId="102" applyNumberFormat="1" applyBorder="1" applyAlignment="1" applyProtection="1">
      <alignment vertical="center" wrapText="1"/>
      <protection locked="0"/>
    </xf>
    <xf numFmtId="167" fontId="29" fillId="0" borderId="46" xfId="102" applyNumberFormat="1" applyFont="1" applyBorder="1" applyAlignment="1">
      <alignment horizontal="center" vertical="center" wrapText="1"/>
      <protection/>
    </xf>
    <xf numFmtId="167" fontId="30" fillId="0" borderId="37" xfId="102" applyNumberFormat="1" applyFont="1" applyBorder="1" applyAlignment="1" applyProtection="1">
      <alignment vertical="center" wrapText="1"/>
      <protection locked="0"/>
    </xf>
    <xf numFmtId="14" fontId="1" fillId="0" borderId="24" xfId="102" applyNumberFormat="1" applyBorder="1" applyAlignment="1" applyProtection="1">
      <alignment vertical="center" wrapText="1"/>
      <protection locked="0"/>
    </xf>
    <xf numFmtId="3" fontId="1" fillId="0" borderId="25" xfId="102" applyNumberFormat="1" applyBorder="1" applyAlignment="1" applyProtection="1">
      <alignment vertical="center" wrapText="1"/>
      <protection locked="0"/>
    </xf>
    <xf numFmtId="167" fontId="47" fillId="0" borderId="23" xfId="102" applyNumberFormat="1" applyFont="1" applyBorder="1" applyAlignment="1">
      <alignment vertical="center" wrapText="1"/>
      <protection/>
    </xf>
    <xf numFmtId="0" fontId="71" fillId="0" borderId="0" xfId="109" applyFont="1" applyFill="1" applyBorder="1" applyAlignment="1">
      <alignment horizontal="center" vertical="center" wrapText="1"/>
      <protection/>
    </xf>
    <xf numFmtId="3" fontId="11" fillId="0" borderId="0" xfId="96" applyNumberFormat="1" applyFont="1" applyFill="1">
      <alignment/>
      <protection/>
    </xf>
    <xf numFmtId="49" fontId="54" fillId="0" borderId="31" xfId="108" applyNumberFormat="1" applyFont="1" applyFill="1" applyBorder="1" applyAlignment="1" applyProtection="1">
      <alignment horizontal="center" vertical="center" wrapText="1"/>
      <protection/>
    </xf>
    <xf numFmtId="49" fontId="54" fillId="0" borderId="24" xfId="108" applyNumberFormat="1" applyFont="1" applyFill="1" applyBorder="1" applyAlignment="1" applyProtection="1">
      <alignment horizontal="center" vertical="center"/>
      <protection/>
    </xf>
    <xf numFmtId="49" fontId="54" fillId="0" borderId="25" xfId="108" applyNumberFormat="1" applyFont="1" applyFill="1" applyBorder="1" applyAlignment="1" applyProtection="1">
      <alignment horizontal="center" vertical="center"/>
      <protection/>
    </xf>
    <xf numFmtId="0" fontId="55" fillId="0" borderId="21" xfId="109" applyFont="1" applyFill="1" applyBorder="1" applyAlignment="1" applyProtection="1">
      <alignment vertical="center" wrapText="1"/>
      <protection/>
    </xf>
    <xf numFmtId="176" fontId="46" fillId="0" borderId="29" xfId="108" applyNumberFormat="1" applyFont="1" applyFill="1" applyBorder="1" applyAlignment="1" applyProtection="1">
      <alignment horizontal="center" vertical="center"/>
      <protection/>
    </xf>
    <xf numFmtId="180" fontId="46" fillId="0" borderId="60" xfId="108" applyNumberFormat="1" applyFont="1" applyFill="1" applyBorder="1" applyAlignment="1" applyProtection="1">
      <alignment vertical="center"/>
      <protection locked="0"/>
    </xf>
    <xf numFmtId="176" fontId="46" fillId="0" borderId="32" xfId="108" applyNumberFormat="1" applyFont="1" applyFill="1" applyBorder="1" applyAlignment="1" applyProtection="1">
      <alignment horizontal="center" vertical="center"/>
      <protection/>
    </xf>
    <xf numFmtId="180" fontId="46" fillId="0" borderId="33" xfId="108" applyNumberFormat="1" applyFont="1" applyFill="1" applyBorder="1" applyAlignment="1" applyProtection="1">
      <alignment vertical="center"/>
      <protection locked="0"/>
    </xf>
    <xf numFmtId="176" fontId="54" fillId="0" borderId="32" xfId="108" applyNumberFormat="1" applyFont="1" applyFill="1" applyBorder="1" applyAlignment="1" applyProtection="1">
      <alignment horizontal="center" vertical="center"/>
      <protection/>
    </xf>
    <xf numFmtId="180" fontId="54" fillId="0" borderId="33" xfId="108" applyNumberFormat="1" applyFont="1" applyFill="1" applyBorder="1" applyAlignment="1" applyProtection="1">
      <alignment vertical="center"/>
      <protection/>
    </xf>
    <xf numFmtId="180" fontId="46" fillId="0" borderId="33" xfId="108" applyNumberFormat="1" applyFont="1" applyFill="1" applyBorder="1" applyAlignment="1" applyProtection="1">
      <alignment vertical="center"/>
      <protection locked="0"/>
    </xf>
    <xf numFmtId="180" fontId="54" fillId="0" borderId="33" xfId="108" applyNumberFormat="1" applyFont="1" applyFill="1" applyBorder="1" applyAlignment="1" applyProtection="1">
      <alignment vertical="center"/>
      <protection locked="0"/>
    </xf>
    <xf numFmtId="0" fontId="54" fillId="0" borderId="31" xfId="108" applyFont="1" applyFill="1" applyBorder="1" applyAlignment="1" applyProtection="1">
      <alignment horizontal="left" vertical="center" wrapText="1"/>
      <protection/>
    </xf>
    <xf numFmtId="176" fontId="54" fillId="0" borderId="24" xfId="108" applyNumberFormat="1" applyFont="1" applyFill="1" applyBorder="1" applyAlignment="1" applyProtection="1">
      <alignment horizontal="center" vertical="center"/>
      <protection/>
    </xf>
    <xf numFmtId="180" fontId="54" fillId="0" borderId="25" xfId="108" applyNumberFormat="1" applyFont="1" applyFill="1" applyBorder="1" applyAlignment="1" applyProtection="1">
      <alignment vertical="center"/>
      <protection/>
    </xf>
    <xf numFmtId="49" fontId="109" fillId="0" borderId="27" xfId="97" applyNumberFormat="1" applyFont="1" applyFill="1" applyBorder="1" applyAlignment="1" applyProtection="1">
      <alignment horizontal="center" vertical="center" wrapText="1"/>
      <protection locked="0"/>
    </xf>
    <xf numFmtId="167" fontId="46" fillId="0" borderId="97" xfId="97" applyNumberFormat="1" applyFont="1" applyFill="1" applyBorder="1" applyAlignment="1" applyProtection="1">
      <alignment horizontal="left" vertical="center" wrapText="1" indent="1"/>
      <protection locked="0"/>
    </xf>
    <xf numFmtId="49" fontId="109" fillId="0" borderId="24" xfId="97" applyNumberFormat="1" applyFont="1" applyFill="1" applyBorder="1" applyAlignment="1" applyProtection="1">
      <alignment horizontal="center" vertical="center" wrapText="1"/>
      <protection locked="0"/>
    </xf>
    <xf numFmtId="167" fontId="46" fillId="0" borderId="96" xfId="97" applyNumberFormat="1" applyFont="1" applyFill="1" applyBorder="1" applyAlignment="1" applyProtection="1">
      <alignment horizontal="left" vertical="center" wrapText="1" indent="1"/>
      <protection/>
    </xf>
    <xf numFmtId="167" fontId="46" fillId="0" borderId="77" xfId="97" applyNumberFormat="1" applyFont="1" applyFill="1" applyBorder="1" applyAlignment="1" applyProtection="1">
      <alignment horizontal="left" vertical="center" wrapText="1" indent="1"/>
      <protection/>
    </xf>
    <xf numFmtId="167" fontId="109" fillId="0" borderId="77" xfId="97" applyNumberFormat="1" applyFont="1" applyFill="1" applyBorder="1" applyAlignment="1" applyProtection="1">
      <alignment vertical="center" wrapText="1"/>
      <protection/>
    </xf>
    <xf numFmtId="167" fontId="109" fillId="0" borderId="21" xfId="97" applyNumberFormat="1" applyFont="1" applyFill="1" applyBorder="1" applyAlignment="1" applyProtection="1">
      <alignment vertical="center" wrapText="1"/>
      <protection/>
    </xf>
    <xf numFmtId="167" fontId="109" fillId="0" borderId="32" xfId="97" applyNumberFormat="1" applyFont="1" applyFill="1" applyBorder="1" applyAlignment="1" applyProtection="1">
      <alignment vertical="center" wrapText="1"/>
      <protection/>
    </xf>
    <xf numFmtId="167" fontId="109" fillId="0" borderId="33" xfId="97" applyNumberFormat="1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56" xfId="0" applyFont="1" applyBorder="1" applyAlignment="1">
      <alignment horizontal="left" wrapText="1"/>
    </xf>
    <xf numFmtId="0" fontId="7" fillId="0" borderId="123" xfId="0" applyFont="1" applyBorder="1" applyAlignment="1">
      <alignment horizontal="left" wrapText="1"/>
    </xf>
    <xf numFmtId="0" fontId="3" fillId="0" borderId="44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44" xfId="0" applyNumberFormat="1" applyFont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93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wrapText="1"/>
    </xf>
    <xf numFmtId="0" fontId="7" fillId="0" borderId="40" xfId="0" applyFont="1" applyBorder="1" applyAlignment="1">
      <alignment wrapText="1"/>
    </xf>
    <xf numFmtId="0" fontId="7" fillId="0" borderId="71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 wrapText="1"/>
    </xf>
    <xf numFmtId="49" fontId="41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30" fillId="0" borderId="73" xfId="107" applyFont="1" applyFill="1" applyBorder="1" applyAlignment="1" applyProtection="1">
      <alignment horizontal="left" vertical="center" wrapText="1"/>
      <protection/>
    </xf>
    <xf numFmtId="0" fontId="30" fillId="0" borderId="56" xfId="107" applyFont="1" applyFill="1" applyBorder="1" applyAlignment="1" applyProtection="1">
      <alignment horizontal="left" vertical="center" wrapText="1"/>
      <protection/>
    </xf>
    <xf numFmtId="0" fontId="30" fillId="0" borderId="90" xfId="107" applyFont="1" applyFill="1" applyBorder="1" applyAlignment="1" applyProtection="1">
      <alignment horizontal="left" vertical="center" wrapText="1"/>
      <protection/>
    </xf>
    <xf numFmtId="49" fontId="7" fillId="0" borderId="64" xfId="0" applyNumberFormat="1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left" vertical="center"/>
    </xf>
    <xf numFmtId="49" fontId="3" fillId="0" borderId="69" xfId="0" applyNumberFormat="1" applyFont="1" applyBorder="1" applyAlignment="1">
      <alignment horizontal="center" vertical="center"/>
    </xf>
    <xf numFmtId="167" fontId="61" fillId="0" borderId="19" xfId="107" applyNumberFormat="1" applyFont="1" applyFill="1" applyBorder="1" applyAlignment="1" applyProtection="1">
      <alignment horizontal="left" vertical="center"/>
      <protection/>
    </xf>
    <xf numFmtId="0" fontId="47" fillId="0" borderId="0" xfId="107" applyFont="1" applyFill="1" applyAlignment="1">
      <alignment horizontal="center"/>
      <protection/>
    </xf>
    <xf numFmtId="0" fontId="7" fillId="0" borderId="4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44" fillId="0" borderId="24" xfId="107" applyFont="1" applyFill="1" applyBorder="1" applyAlignment="1">
      <alignment horizontal="left"/>
      <protection/>
    </xf>
    <xf numFmtId="0" fontId="30" fillId="0" borderId="67" xfId="107" applyFont="1" applyFill="1" applyBorder="1" applyAlignment="1" applyProtection="1">
      <alignment horizontal="left" vertical="center" wrapText="1"/>
      <protection/>
    </xf>
    <xf numFmtId="0" fontId="30" fillId="0" borderId="40" xfId="107" applyFont="1" applyFill="1" applyBorder="1" applyAlignment="1" applyProtection="1">
      <alignment horizontal="left" vertical="center" wrapText="1"/>
      <protection/>
    </xf>
    <xf numFmtId="0" fontId="30" fillId="0" borderId="89" xfId="107" applyFont="1" applyFill="1" applyBorder="1" applyAlignment="1" applyProtection="1">
      <alignment horizontal="left" vertical="center" wrapText="1"/>
      <protection/>
    </xf>
    <xf numFmtId="0" fontId="30" fillId="0" borderId="75" xfId="107" applyFont="1" applyFill="1" applyBorder="1" applyAlignment="1" applyProtection="1">
      <alignment horizontal="left" vertical="center" wrapText="1"/>
      <protection/>
    </xf>
    <xf numFmtId="0" fontId="30" fillId="0" borderId="68" xfId="107" applyFont="1" applyFill="1" applyBorder="1" applyAlignment="1" applyProtection="1">
      <alignment horizontal="left" vertical="center" wrapText="1"/>
      <protection/>
    </xf>
    <xf numFmtId="0" fontId="30" fillId="0" borderId="92" xfId="107" applyFont="1" applyFill="1" applyBorder="1" applyAlignment="1" applyProtection="1">
      <alignment horizontal="left" vertical="center" wrapText="1"/>
      <protection/>
    </xf>
    <xf numFmtId="0" fontId="28" fillId="0" borderId="27" xfId="107" applyFont="1" applyFill="1" applyBorder="1" applyAlignment="1">
      <alignment horizontal="left"/>
      <protection/>
    </xf>
    <xf numFmtId="0" fontId="30" fillId="0" borderId="32" xfId="107" applyFont="1" applyFill="1" applyBorder="1" applyAlignment="1">
      <alignment horizontal="left"/>
      <protection/>
    </xf>
    <xf numFmtId="0" fontId="44" fillId="0" borderId="32" xfId="107" applyFont="1" applyFill="1" applyBorder="1" applyAlignment="1">
      <alignment horizontal="left"/>
      <protection/>
    </xf>
    <xf numFmtId="0" fontId="47" fillId="0" borderId="0" xfId="107" applyFont="1" applyFill="1" applyAlignment="1">
      <alignment horizontal="center" wrapText="1"/>
      <protection/>
    </xf>
    <xf numFmtId="0" fontId="47" fillId="0" borderId="0" xfId="107" applyFont="1" applyFill="1" applyBorder="1" applyAlignment="1">
      <alignment horizontal="center" wrapText="1"/>
      <protection/>
    </xf>
    <xf numFmtId="0" fontId="61" fillId="0" borderId="0" xfId="107" applyFont="1" applyFill="1" applyBorder="1" applyAlignment="1">
      <alignment horizontal="left"/>
      <protection/>
    </xf>
    <xf numFmtId="0" fontId="28" fillId="0" borderId="63" xfId="107" applyFont="1" applyFill="1" applyBorder="1" applyAlignment="1" applyProtection="1">
      <alignment horizontal="left" vertical="center" wrapText="1"/>
      <protection/>
    </xf>
    <xf numFmtId="0" fontId="28" fillId="0" borderId="44" xfId="107" applyFont="1" applyFill="1" applyBorder="1" applyAlignment="1" applyProtection="1">
      <alignment horizontal="left" vertical="center" wrapText="1"/>
      <protection/>
    </xf>
    <xf numFmtId="0" fontId="28" fillId="0" borderId="54" xfId="107" applyFont="1" applyFill="1" applyBorder="1" applyAlignment="1" applyProtection="1">
      <alignment horizontal="left" vertical="center" wrapText="1"/>
      <protection/>
    </xf>
    <xf numFmtId="167" fontId="61" fillId="0" borderId="0" xfId="107" applyNumberFormat="1" applyFont="1" applyFill="1" applyBorder="1" applyAlignment="1" applyProtection="1">
      <alignment horizontal="left" vertical="center"/>
      <protection/>
    </xf>
    <xf numFmtId="0" fontId="30" fillId="0" borderId="74" xfId="107" applyFont="1" applyFill="1" applyBorder="1" applyAlignment="1" applyProtection="1">
      <alignment horizontal="left" vertical="center" wrapText="1"/>
      <protection/>
    </xf>
    <xf numFmtId="0" fontId="30" fillId="0" borderId="19" xfId="107" applyFont="1" applyFill="1" applyBorder="1" applyAlignment="1" applyProtection="1">
      <alignment horizontal="left" vertical="center" wrapText="1"/>
      <protection/>
    </xf>
    <xf numFmtId="0" fontId="30" fillId="0" borderId="91" xfId="107" applyFont="1" applyFill="1" applyBorder="1" applyAlignment="1" applyProtection="1">
      <alignment horizontal="left" vertical="center" wrapText="1"/>
      <protection/>
    </xf>
    <xf numFmtId="0" fontId="10" fillId="0" borderId="0" xfId="104" applyFont="1" applyAlignment="1">
      <alignment horizontal="right" vertical="center"/>
      <protection/>
    </xf>
    <xf numFmtId="0" fontId="22" fillId="0" borderId="0" xfId="104" applyFont="1" applyAlignment="1">
      <alignment horizontal="center" vertical="center"/>
      <protection/>
    </xf>
    <xf numFmtId="0" fontId="23" fillId="0" borderId="19" xfId="104" applyFont="1" applyBorder="1" applyAlignment="1">
      <alignment horizontal="center" vertical="center"/>
      <protection/>
    </xf>
    <xf numFmtId="0" fontId="23" fillId="0" borderId="0" xfId="104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41" xfId="0" applyFont="1" applyFill="1" applyBorder="1" applyAlignment="1">
      <alignment horizontal="left" vertical="center"/>
    </xf>
    <xf numFmtId="167" fontId="63" fillId="0" borderId="0" xfId="0" applyNumberFormat="1" applyFont="1" applyFill="1" applyAlignment="1">
      <alignment horizontal="right" vertical="center" wrapText="1"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50" fillId="0" borderId="54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0" fillId="0" borderId="63" xfId="0" applyFont="1" applyFill="1" applyBorder="1" applyAlignment="1" applyProtection="1">
      <alignment horizontal="center" vertical="center" wrapText="1"/>
      <protection/>
    </xf>
    <xf numFmtId="0" fontId="50" fillId="0" borderId="44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0" fillId="0" borderId="23" xfId="0" applyFont="1" applyFill="1" applyBorder="1" applyAlignment="1" applyProtection="1">
      <alignment horizontal="center" vertical="center" wrapText="1"/>
      <protection/>
    </xf>
    <xf numFmtId="0" fontId="50" fillId="0" borderId="48" xfId="0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3" fontId="16" fillId="49" borderId="22" xfId="104" applyNumberFormat="1" applyFont="1" applyFill="1" applyBorder="1" applyAlignment="1">
      <alignment horizontal="center" vertical="center"/>
      <protection/>
    </xf>
    <xf numFmtId="3" fontId="16" fillId="49" borderId="23" xfId="104" applyNumberFormat="1" applyFont="1" applyFill="1" applyBorder="1" applyAlignment="1">
      <alignment horizontal="center" vertical="center"/>
      <protection/>
    </xf>
    <xf numFmtId="3" fontId="16" fillId="49" borderId="63" xfId="104" applyNumberFormat="1" applyFont="1" applyFill="1" applyBorder="1" applyAlignment="1">
      <alignment horizontal="center" vertical="center"/>
      <protection/>
    </xf>
    <xf numFmtId="3" fontId="16" fillId="49" borderId="48" xfId="104" applyNumberFormat="1" applyFont="1" applyFill="1" applyBorder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0" fontId="16" fillId="49" borderId="63" xfId="104" applyFont="1" applyFill="1" applyBorder="1" applyAlignment="1">
      <alignment horizontal="center" vertical="center"/>
      <protection/>
    </xf>
    <xf numFmtId="0" fontId="16" fillId="49" borderId="48" xfId="104" applyFont="1" applyFill="1" applyBorder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54" xfId="104" applyFont="1" applyBorder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2" fillId="0" borderId="44" xfId="104" applyFont="1" applyBorder="1" applyAlignment="1">
      <alignment horizontal="center" vertical="center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54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79" fillId="0" borderId="44" xfId="106" applyFont="1" applyBorder="1" applyAlignment="1">
      <alignment horizontal="center" vertical="center" wrapText="1"/>
      <protection/>
    </xf>
    <xf numFmtId="0" fontId="77" fillId="0" borderId="40" xfId="106" applyFont="1" applyFill="1" applyBorder="1" applyAlignment="1">
      <alignment horizontal="left"/>
      <protection/>
    </xf>
    <xf numFmtId="0" fontId="77" fillId="0" borderId="67" xfId="106" applyFont="1" applyFill="1" applyBorder="1" applyAlignment="1">
      <alignment horizontal="left" vertical="center" wrapText="1"/>
      <protection/>
    </xf>
    <xf numFmtId="0" fontId="77" fillId="0" borderId="40" xfId="106" applyFont="1" applyFill="1" applyBorder="1" applyAlignment="1">
      <alignment horizontal="left" vertical="center" wrapText="1"/>
      <protection/>
    </xf>
    <xf numFmtId="166" fontId="77" fillId="0" borderId="40" xfId="106" applyNumberFormat="1" applyFont="1" applyBorder="1" applyAlignment="1">
      <alignment horizontal="left" wrapText="1"/>
      <protection/>
    </xf>
    <xf numFmtId="166" fontId="77" fillId="0" borderId="67" xfId="106" applyNumberFormat="1" applyFont="1" applyBorder="1" applyAlignment="1">
      <alignment horizontal="left" wrapText="1"/>
      <protection/>
    </xf>
    <xf numFmtId="166" fontId="77" fillId="0" borderId="75" xfId="106" applyNumberFormat="1" applyFont="1" applyBorder="1" applyAlignment="1">
      <alignment horizontal="left" wrapText="1"/>
      <protection/>
    </xf>
    <xf numFmtId="166" fontId="77" fillId="0" borderId="68" xfId="106" applyNumberFormat="1" applyFont="1" applyBorder="1" applyAlignment="1">
      <alignment horizontal="left" wrapText="1"/>
      <protection/>
    </xf>
    <xf numFmtId="0" fontId="77" fillId="0" borderId="56" xfId="106" applyFont="1" applyFill="1" applyBorder="1" applyAlignment="1">
      <alignment horizontal="left"/>
      <protection/>
    </xf>
    <xf numFmtId="3" fontId="17" fillId="0" borderId="0" xfId="104" applyNumberFormat="1" applyFont="1" applyAlignment="1">
      <alignment horizontal="right"/>
      <protection/>
    </xf>
    <xf numFmtId="0" fontId="74" fillId="0" borderId="0" xfId="104" applyFont="1" applyAlignment="1">
      <alignment horizontal="center"/>
      <protection/>
    </xf>
    <xf numFmtId="0" fontId="75" fillId="0" borderId="0" xfId="104" applyFont="1" applyAlignment="1">
      <alignment horizontal="center"/>
      <protection/>
    </xf>
    <xf numFmtId="0" fontId="20" fillId="0" borderId="0" xfId="104" applyFont="1" applyAlignment="1">
      <alignment horizontal="center"/>
      <protection/>
    </xf>
    <xf numFmtId="166" fontId="76" fillId="0" borderId="44" xfId="106" applyNumberFormat="1" applyFont="1" applyBorder="1" applyAlignment="1">
      <alignment horizontal="center" vertical="center" wrapText="1"/>
      <protection/>
    </xf>
    <xf numFmtId="3" fontId="76" fillId="0" borderId="22" xfId="106" applyNumberFormat="1" applyFont="1" applyBorder="1" applyAlignment="1">
      <alignment horizontal="center" vertical="center" wrapText="1"/>
      <protection/>
    </xf>
    <xf numFmtId="3" fontId="76" fillId="0" borderId="23" xfId="106" applyNumberFormat="1" applyFont="1" applyBorder="1" applyAlignment="1">
      <alignment horizontal="center" vertical="center" wrapText="1"/>
      <protection/>
    </xf>
    <xf numFmtId="3" fontId="76" fillId="0" borderId="63" xfId="106" applyNumberFormat="1" applyFont="1" applyBorder="1" applyAlignment="1">
      <alignment horizontal="center" vertical="center" wrapText="1"/>
      <protection/>
    </xf>
    <xf numFmtId="3" fontId="76" fillId="0" borderId="48" xfId="106" applyNumberFormat="1" applyFont="1" applyBorder="1" applyAlignment="1">
      <alignment horizontal="center" vertical="center" wrapText="1"/>
      <protection/>
    </xf>
    <xf numFmtId="3" fontId="91" fillId="0" borderId="19" xfId="104" applyNumberFormat="1" applyFont="1" applyBorder="1" applyAlignment="1">
      <alignment horizontal="right"/>
      <protection/>
    </xf>
    <xf numFmtId="0" fontId="80" fillId="0" borderId="19" xfId="104" applyFont="1" applyBorder="1" applyAlignment="1">
      <alignment horizontal="center" vertical="center" wrapText="1"/>
      <protection/>
    </xf>
    <xf numFmtId="0" fontId="24" fillId="50" borderId="80" xfId="104" applyFont="1" applyFill="1" applyBorder="1" applyAlignment="1">
      <alignment horizontal="center" vertical="center" wrapText="1"/>
      <protection/>
    </xf>
    <xf numFmtId="0" fontId="24" fillId="50" borderId="30" xfId="104" applyFont="1" applyFill="1" applyBorder="1" applyAlignment="1">
      <alignment horizontal="center" vertical="center" wrapText="1"/>
      <protection/>
    </xf>
    <xf numFmtId="0" fontId="24" fillId="50" borderId="87" xfId="104" applyFont="1" applyFill="1" applyBorder="1" applyAlignment="1">
      <alignment horizontal="center" vertical="center" wrapText="1"/>
      <protection/>
    </xf>
    <xf numFmtId="0" fontId="24" fillId="50" borderId="47" xfId="104" applyFont="1" applyFill="1" applyBorder="1" applyAlignment="1">
      <alignment horizontal="center" vertical="center" wrapText="1"/>
      <protection/>
    </xf>
    <xf numFmtId="0" fontId="24" fillId="50" borderId="37" xfId="104" applyFont="1" applyFill="1" applyBorder="1" applyAlignment="1">
      <alignment horizontal="center" vertical="center" wrapText="1"/>
      <protection/>
    </xf>
    <xf numFmtId="0" fontId="24" fillId="50" borderId="124" xfId="104" applyFont="1" applyFill="1" applyBorder="1" applyAlignment="1">
      <alignment horizontal="center" vertical="center" wrapText="1"/>
      <protection/>
    </xf>
    <xf numFmtId="3" fontId="24" fillId="50" borderId="72" xfId="104" applyNumberFormat="1" applyFont="1" applyFill="1" applyBorder="1" applyAlignment="1">
      <alignment horizontal="center" vertical="center" wrapText="1"/>
      <protection/>
    </xf>
    <xf numFmtId="3" fontId="24" fillId="50" borderId="69" xfId="104" applyNumberFormat="1" applyFont="1" applyFill="1" applyBorder="1" applyAlignment="1">
      <alignment horizontal="center" vertical="center" wrapText="1"/>
      <protection/>
    </xf>
    <xf numFmtId="3" fontId="24" fillId="50" borderId="59" xfId="104" applyNumberFormat="1" applyFont="1" applyFill="1" applyBorder="1" applyAlignment="1">
      <alignment horizontal="center" vertical="center" wrapText="1"/>
      <protection/>
    </xf>
    <xf numFmtId="3" fontId="24" fillId="50" borderId="79" xfId="104" applyNumberFormat="1" applyFont="1" applyFill="1" applyBorder="1" applyAlignment="1">
      <alignment horizontal="center" vertical="center" wrapText="1"/>
      <protection/>
    </xf>
    <xf numFmtId="3" fontId="24" fillId="50" borderId="0" xfId="104" applyNumberFormat="1" applyFont="1" applyFill="1" applyBorder="1" applyAlignment="1">
      <alignment horizontal="center" vertical="center" wrapText="1"/>
      <protection/>
    </xf>
    <xf numFmtId="3" fontId="24" fillId="50" borderId="94" xfId="104" applyNumberFormat="1" applyFont="1" applyFill="1" applyBorder="1" applyAlignment="1">
      <alignment horizontal="center" vertical="center" wrapText="1"/>
      <protection/>
    </xf>
    <xf numFmtId="3" fontId="24" fillId="50" borderId="125" xfId="104" applyNumberFormat="1" applyFont="1" applyFill="1" applyBorder="1" applyAlignment="1">
      <alignment horizontal="center" vertical="center" wrapText="1"/>
      <protection/>
    </xf>
    <xf numFmtId="3" fontId="24" fillId="50" borderId="126" xfId="104" applyNumberFormat="1" applyFont="1" applyFill="1" applyBorder="1" applyAlignment="1">
      <alignment horizontal="center" vertical="center" wrapText="1"/>
      <protection/>
    </xf>
    <xf numFmtId="3" fontId="24" fillId="50" borderId="127" xfId="104" applyNumberFormat="1" applyFont="1" applyFill="1" applyBorder="1" applyAlignment="1">
      <alignment horizontal="center" vertical="center" wrapText="1"/>
      <protection/>
    </xf>
    <xf numFmtId="3" fontId="24" fillId="50" borderId="128" xfId="104" applyNumberFormat="1" applyFont="1" applyFill="1" applyBorder="1" applyAlignment="1">
      <alignment horizontal="center" vertical="center" wrapText="1"/>
      <protection/>
    </xf>
    <xf numFmtId="3" fontId="24" fillId="50" borderId="88" xfId="104" applyNumberFormat="1" applyFont="1" applyFill="1" applyBorder="1" applyAlignment="1">
      <alignment horizontal="center" vertical="center" wrapText="1"/>
      <protection/>
    </xf>
    <xf numFmtId="3" fontId="24" fillId="50" borderId="129" xfId="104" applyNumberFormat="1" applyFont="1" applyFill="1" applyBorder="1" applyAlignment="1">
      <alignment horizontal="center" vertical="center" wrapText="1"/>
      <protection/>
    </xf>
    <xf numFmtId="3" fontId="17" fillId="0" borderId="0" xfId="104" applyNumberFormat="1" applyFont="1" applyAlignment="1">
      <alignment horizontal="right" vertical="center"/>
      <protection/>
    </xf>
    <xf numFmtId="0" fontId="80" fillId="0" borderId="0" xfId="104" applyFont="1" applyAlignment="1">
      <alignment horizontal="center" vertical="center" wrapText="1"/>
      <protection/>
    </xf>
    <xf numFmtId="0" fontId="80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78" fillId="0" borderId="0" xfId="104" applyFont="1" applyAlignment="1">
      <alignment horizontal="center" vertical="center"/>
      <protection/>
    </xf>
    <xf numFmtId="0" fontId="14" fillId="0" borderId="0" xfId="104" applyFont="1" applyAlignment="1">
      <alignment horizontal="center" wrapText="1"/>
      <protection/>
    </xf>
    <xf numFmtId="0" fontId="12" fillId="1" borderId="53" xfId="104" applyFont="1" applyFill="1" applyBorder="1" applyAlignment="1">
      <alignment horizontal="center" vertical="center" wrapText="1"/>
      <protection/>
    </xf>
    <xf numFmtId="0" fontId="12" fillId="1" borderId="34" xfId="104" applyFont="1" applyFill="1" applyBorder="1" applyAlignment="1">
      <alignment horizontal="center" vertical="center" wrapText="1"/>
      <protection/>
    </xf>
    <xf numFmtId="0" fontId="12" fillId="1" borderId="73" xfId="104" applyFont="1" applyFill="1" applyBorder="1" applyAlignment="1">
      <alignment horizontal="center" vertical="center"/>
      <protection/>
    </xf>
    <xf numFmtId="0" fontId="12" fillId="1" borderId="56" xfId="104" applyFont="1" applyFill="1" applyBorder="1" applyAlignment="1">
      <alignment horizontal="center" vertical="center"/>
      <protection/>
    </xf>
    <xf numFmtId="0" fontId="12" fillId="1" borderId="26" xfId="104" applyFont="1" applyFill="1" applyBorder="1" applyAlignment="1">
      <alignment horizontal="center" vertical="center"/>
      <protection/>
    </xf>
    <xf numFmtId="0" fontId="12" fillId="1" borderId="27" xfId="104" applyFont="1" applyFill="1" applyBorder="1" applyAlignment="1">
      <alignment horizontal="center" vertical="center"/>
      <protection/>
    </xf>
    <xf numFmtId="0" fontId="12" fillId="1" borderId="50" xfId="104" applyFont="1" applyFill="1" applyBorder="1" applyAlignment="1">
      <alignment horizontal="center" vertical="center"/>
      <protection/>
    </xf>
    <xf numFmtId="0" fontId="12" fillId="1" borderId="67" xfId="104" applyFont="1" applyFill="1" applyBorder="1" applyAlignment="1">
      <alignment horizontal="center" vertical="center"/>
      <protection/>
    </xf>
    <xf numFmtId="0" fontId="12" fillId="1" borderId="40" xfId="104" applyFont="1" applyFill="1" applyBorder="1" applyAlignment="1">
      <alignment horizontal="center" vertical="center"/>
      <protection/>
    </xf>
    <xf numFmtId="0" fontId="12" fillId="1" borderId="89" xfId="104" applyFont="1" applyFill="1" applyBorder="1" applyAlignment="1">
      <alignment horizontal="center" vertical="center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12" fillId="1" borderId="32" xfId="104" applyFont="1" applyFill="1" applyBorder="1" applyAlignment="1">
      <alignment horizontal="center" vertical="center"/>
      <protection/>
    </xf>
    <xf numFmtId="0" fontId="12" fillId="1" borderId="33" xfId="104" applyFont="1" applyFill="1" applyBorder="1" applyAlignment="1">
      <alignment horizontal="center" vertical="center"/>
      <protection/>
    </xf>
    <xf numFmtId="0" fontId="19" fillId="0" borderId="0" xfId="104" applyFont="1" applyAlignment="1">
      <alignment horizontal="right"/>
      <protection/>
    </xf>
    <xf numFmtId="0" fontId="22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65" fillId="0" borderId="0" xfId="105" applyFont="1" applyAlignment="1">
      <alignment horizontal="right" vertical="center"/>
      <protection/>
    </xf>
    <xf numFmtId="0" fontId="25" fillId="0" borderId="73" xfId="105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/>
    </xf>
    <xf numFmtId="0" fontId="0" fillId="0" borderId="123" xfId="0" applyBorder="1" applyAlignment="1">
      <alignment/>
    </xf>
    <xf numFmtId="0" fontId="35" fillId="0" borderId="0" xfId="105" applyFont="1" applyAlignment="1">
      <alignment horizontal="center" vertical="center"/>
      <protection/>
    </xf>
    <xf numFmtId="16" fontId="35" fillId="0" borderId="0" xfId="105" applyNumberFormat="1" applyFont="1" applyBorder="1" applyAlignment="1">
      <alignment horizontal="center" vertical="center" wrapText="1"/>
      <protection/>
    </xf>
    <xf numFmtId="0" fontId="25" fillId="0" borderId="80" xfId="105" applyFont="1" applyFill="1" applyBorder="1" applyAlignment="1">
      <alignment horizontal="center" vertical="center" wrapText="1"/>
      <protection/>
    </xf>
    <xf numFmtId="1" fontId="36" fillId="0" borderId="20" xfId="105" applyNumberFormat="1" applyFont="1" applyBorder="1" applyAlignment="1">
      <alignment horizontal="center" vertical="center" wrapText="1"/>
      <protection/>
    </xf>
    <xf numFmtId="1" fontId="36" fillId="0" borderId="44" xfId="105" applyNumberFormat="1" applyFont="1" applyBorder="1" applyAlignment="1">
      <alignment horizontal="center" vertical="center" wrapText="1"/>
      <protection/>
    </xf>
    <xf numFmtId="1" fontId="36" fillId="0" borderId="55" xfId="105" applyNumberFormat="1" applyFont="1" applyBorder="1" applyAlignment="1">
      <alignment horizontal="center" vertical="center" wrapText="1"/>
      <protection/>
    </xf>
    <xf numFmtId="0" fontId="25" fillId="0" borderId="20" xfId="105" applyFont="1" applyBorder="1" applyAlignment="1">
      <alignment horizontal="left" vertical="center"/>
      <protection/>
    </xf>
    <xf numFmtId="0" fontId="25" fillId="0" borderId="44" xfId="105" applyFont="1" applyBorder="1" applyAlignment="1">
      <alignment horizontal="left" vertical="center"/>
      <protection/>
    </xf>
    <xf numFmtId="0" fontId="25" fillId="0" borderId="54" xfId="105" applyFont="1" applyBorder="1" applyAlignment="1">
      <alignment horizontal="left" vertical="center"/>
      <protection/>
    </xf>
    <xf numFmtId="0" fontId="37" fillId="0" borderId="0" xfId="105" applyFont="1" applyAlignment="1">
      <alignment horizontal="center" vertical="center"/>
      <protection/>
    </xf>
    <xf numFmtId="0" fontId="25" fillId="0" borderId="53" xfId="105" applyFont="1" applyBorder="1" applyAlignment="1">
      <alignment horizontal="center" vertical="center" wrapText="1"/>
      <protection/>
    </xf>
    <xf numFmtId="0" fontId="25" fillId="0" borderId="45" xfId="105" applyFont="1" applyBorder="1" applyAlignment="1">
      <alignment horizontal="center" vertical="center" wrapText="1"/>
      <protection/>
    </xf>
    <xf numFmtId="0" fontId="37" fillId="0" borderId="26" xfId="105" applyFont="1" applyBorder="1" applyAlignment="1">
      <alignment horizontal="center" vertical="center" wrapText="1"/>
      <protection/>
    </xf>
    <xf numFmtId="0" fontId="37" fillId="0" borderId="50" xfId="105" applyFont="1" applyBorder="1" applyAlignment="1">
      <alignment horizontal="center" vertical="center" wrapText="1"/>
      <protection/>
    </xf>
    <xf numFmtId="0" fontId="13" fillId="0" borderId="0" xfId="96" applyFont="1" applyFill="1" applyAlignment="1">
      <alignment horizontal="center"/>
      <protection/>
    </xf>
    <xf numFmtId="0" fontId="91" fillId="0" borderId="41" xfId="96" applyFont="1" applyFill="1" applyBorder="1" applyAlignment="1">
      <alignment horizontal="right"/>
      <protection/>
    </xf>
    <xf numFmtId="0" fontId="91" fillId="0" borderId="0" xfId="96" applyFont="1" applyFill="1" applyAlignment="1">
      <alignment horizontal="right"/>
      <protection/>
    </xf>
    <xf numFmtId="0" fontId="13" fillId="0" borderId="67" xfId="96" applyFont="1" applyFill="1" applyBorder="1" applyAlignment="1">
      <alignment horizontal="center" wrapText="1"/>
      <protection/>
    </xf>
    <xf numFmtId="0" fontId="13" fillId="0" borderId="89" xfId="96" applyFont="1" applyFill="1" applyBorder="1" applyAlignment="1">
      <alignment horizontal="center" wrapText="1"/>
      <protection/>
    </xf>
    <xf numFmtId="0" fontId="13" fillId="0" borderId="32" xfId="96" applyFont="1" applyFill="1" applyBorder="1" applyAlignment="1">
      <alignment horizontal="center" wrapText="1"/>
      <protection/>
    </xf>
    <xf numFmtId="0" fontId="47" fillId="0" borderId="26" xfId="108" applyFont="1" applyFill="1" applyBorder="1" applyAlignment="1" applyProtection="1">
      <alignment horizontal="center" vertical="center" wrapText="1"/>
      <protection/>
    </xf>
    <xf numFmtId="0" fontId="47" fillId="0" borderId="21" xfId="108" applyFont="1" applyFill="1" applyBorder="1" applyAlignment="1" applyProtection="1">
      <alignment horizontal="center" vertical="center" wrapText="1"/>
      <protection/>
    </xf>
    <xf numFmtId="0" fontId="61" fillId="0" borderId="27" xfId="108" applyFont="1" applyFill="1" applyBorder="1" applyAlignment="1" applyProtection="1">
      <alignment horizontal="center" vertical="center" textRotation="90"/>
      <protection/>
    </xf>
    <xf numFmtId="0" fontId="61" fillId="0" borderId="32" xfId="108" applyFont="1" applyFill="1" applyBorder="1" applyAlignment="1" applyProtection="1">
      <alignment horizontal="center" vertical="center" textRotation="90"/>
      <protection/>
    </xf>
    <xf numFmtId="0" fontId="32" fillId="0" borderId="50" xfId="108" applyFont="1" applyFill="1" applyBorder="1" applyAlignment="1" applyProtection="1">
      <alignment horizontal="center" vertical="center" wrapText="1"/>
      <protection/>
    </xf>
    <xf numFmtId="0" fontId="32" fillId="0" borderId="33" xfId="108" applyFont="1" applyFill="1" applyBorder="1" applyAlignment="1" applyProtection="1">
      <alignment horizontal="center" vertical="center"/>
      <protection/>
    </xf>
    <xf numFmtId="0" fontId="111" fillId="0" borderId="0" xfId="109" applyFont="1" applyFill="1" applyBorder="1" applyAlignment="1" applyProtection="1">
      <alignment horizontal="center" vertical="center" wrapText="1"/>
      <protection/>
    </xf>
    <xf numFmtId="0" fontId="112" fillId="0" borderId="0" xfId="109" applyFont="1" applyFill="1" applyBorder="1" applyAlignment="1" applyProtection="1">
      <alignment horizontal="right"/>
      <protection/>
    </xf>
    <xf numFmtId="0" fontId="111" fillId="0" borderId="100" xfId="109" applyFont="1" applyFill="1" applyBorder="1" applyAlignment="1" applyProtection="1">
      <alignment horizontal="center" vertical="center" wrapText="1"/>
      <protection/>
    </xf>
    <xf numFmtId="0" fontId="32" fillId="0" borderId="101" xfId="108" applyFont="1" applyFill="1" applyBorder="1" applyAlignment="1" applyProtection="1">
      <alignment horizontal="center" vertical="center" textRotation="90"/>
      <protection/>
    </xf>
    <xf numFmtId="0" fontId="112" fillId="0" borderId="101" xfId="109" applyFont="1" applyFill="1" applyBorder="1" applyAlignment="1" applyProtection="1">
      <alignment horizontal="center" vertical="center" wrapText="1"/>
      <protection/>
    </xf>
    <xf numFmtId="0" fontId="112" fillId="0" borderId="115" xfId="109" applyFont="1" applyFill="1" applyBorder="1" applyAlignment="1" applyProtection="1">
      <alignment horizontal="center" wrapText="1"/>
      <protection/>
    </xf>
    <xf numFmtId="0" fontId="71" fillId="0" borderId="0" xfId="109" applyFont="1" applyFill="1" applyBorder="1" applyAlignment="1" applyProtection="1">
      <alignment horizontal="center" vertical="center" wrapText="1"/>
      <protection/>
    </xf>
    <xf numFmtId="0" fontId="115" fillId="0" borderId="0" xfId="109" applyFont="1" applyFill="1" applyBorder="1" applyAlignment="1" applyProtection="1">
      <alignment horizontal="right"/>
      <protection/>
    </xf>
    <xf numFmtId="0" fontId="71" fillId="0" borderId="100" xfId="109" applyFont="1" applyFill="1" applyBorder="1" applyAlignment="1" applyProtection="1">
      <alignment horizontal="center" vertical="center" wrapText="1"/>
      <protection/>
    </xf>
    <xf numFmtId="0" fontId="63" fillId="0" borderId="101" xfId="108" applyFont="1" applyFill="1" applyBorder="1" applyAlignment="1" applyProtection="1">
      <alignment horizontal="center" vertical="center" textRotation="90"/>
      <protection/>
    </xf>
    <xf numFmtId="0" fontId="115" fillId="0" borderId="101" xfId="109" applyFont="1" applyFill="1" applyBorder="1" applyAlignment="1" applyProtection="1">
      <alignment horizontal="center" vertical="center" wrapText="1"/>
      <protection/>
    </xf>
    <xf numFmtId="0" fontId="115" fillId="0" borderId="115" xfId="109" applyFont="1" applyFill="1" applyBorder="1" applyAlignment="1" applyProtection="1">
      <alignment horizontal="center" wrapText="1"/>
      <protection/>
    </xf>
    <xf numFmtId="0" fontId="71" fillId="0" borderId="0" xfId="109" applyFont="1" applyFill="1" applyBorder="1" applyAlignment="1">
      <alignment horizontal="center" vertical="center" wrapText="1"/>
      <protection/>
    </xf>
    <xf numFmtId="0" fontId="63" fillId="0" borderId="0" xfId="108" applyFont="1" applyFill="1" applyBorder="1" applyAlignment="1" applyProtection="1">
      <alignment horizontal="right" vertical="center"/>
      <protection/>
    </xf>
    <xf numFmtId="0" fontId="71" fillId="0" borderId="108" xfId="109" applyFont="1" applyFill="1" applyBorder="1" applyAlignment="1">
      <alignment horizontal="left"/>
      <protection/>
    </xf>
    <xf numFmtId="0" fontId="43" fillId="0" borderId="0" xfId="107" applyFont="1" applyFill="1" applyAlignment="1">
      <alignment horizontal="right"/>
      <protection/>
    </xf>
    <xf numFmtId="167" fontId="85" fillId="0" borderId="0" xfId="107" applyNumberFormat="1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right"/>
      <protection/>
    </xf>
    <xf numFmtId="0" fontId="47" fillId="0" borderId="26" xfId="107" applyFont="1" applyFill="1" applyBorder="1" applyAlignment="1">
      <alignment horizontal="center" vertical="center" wrapText="1"/>
      <protection/>
    </xf>
    <xf numFmtId="0" fontId="47" fillId="0" borderId="36" xfId="107" applyFont="1" applyFill="1" applyBorder="1" applyAlignment="1">
      <alignment horizontal="center" vertical="center" wrapText="1"/>
      <protection/>
    </xf>
    <xf numFmtId="0" fontId="47" fillId="0" borderId="27" xfId="107" applyFont="1" applyFill="1" applyBorder="1" applyAlignment="1">
      <alignment horizontal="center" vertical="center" wrapText="1"/>
      <protection/>
    </xf>
    <xf numFmtId="0" fontId="47" fillId="0" borderId="35" xfId="107" applyFont="1" applyFill="1" applyBorder="1" applyAlignment="1">
      <alignment horizontal="center" vertical="center" wrapText="1"/>
      <protection/>
    </xf>
    <xf numFmtId="0" fontId="47" fillId="0" borderId="73" xfId="107" applyFont="1" applyFill="1" applyBorder="1" applyAlignment="1">
      <alignment horizontal="center" vertical="center" wrapText="1"/>
      <protection/>
    </xf>
    <xf numFmtId="0" fontId="47" fillId="0" borderId="56" xfId="107" applyFont="1" applyFill="1" applyBorder="1" applyAlignment="1">
      <alignment horizontal="center" vertical="center" wrapText="1"/>
      <protection/>
    </xf>
    <xf numFmtId="0" fontId="47" fillId="0" borderId="123" xfId="107" applyFont="1" applyFill="1" applyBorder="1" applyAlignment="1">
      <alignment horizontal="center" vertical="center" wrapText="1"/>
      <protection/>
    </xf>
    <xf numFmtId="0" fontId="47" fillId="0" borderId="22" xfId="107" applyFont="1" applyFill="1" applyBorder="1" applyAlignment="1" applyProtection="1">
      <alignment horizontal="left" vertical="center"/>
      <protection/>
    </xf>
    <xf numFmtId="0" fontId="47" fillId="0" borderId="23" xfId="107" applyFont="1" applyFill="1" applyBorder="1" applyAlignment="1" applyProtection="1">
      <alignment horizontal="left" vertical="center"/>
      <protection/>
    </xf>
    <xf numFmtId="0" fontId="46" fillId="0" borderId="69" xfId="107" applyFont="1" applyFill="1" applyBorder="1" applyAlignment="1">
      <alignment horizontal="justify" vertical="center" wrapText="1"/>
      <protection/>
    </xf>
    <xf numFmtId="0" fontId="45" fillId="0" borderId="19" xfId="0" applyFont="1" applyFill="1" applyBorder="1" applyAlignment="1" applyProtection="1">
      <alignment horizontal="right" vertical="center"/>
      <protection/>
    </xf>
    <xf numFmtId="167" fontId="83" fillId="0" borderId="0" xfId="107" applyNumberFormat="1" applyFont="1" applyFill="1" applyBorder="1" applyAlignment="1" applyProtection="1">
      <alignment horizontal="center" vertical="center" wrapText="1"/>
      <protection/>
    </xf>
    <xf numFmtId="0" fontId="43" fillId="0" borderId="0" xfId="107" applyFont="1" applyFill="1" applyAlignment="1">
      <alignment horizontal="right" vertical="center"/>
      <protection/>
    </xf>
    <xf numFmtId="0" fontId="87" fillId="0" borderId="0" xfId="102" applyFont="1" applyAlignment="1">
      <alignment horizontal="center" vertical="center"/>
      <protection/>
    </xf>
    <xf numFmtId="167" fontId="43" fillId="0" borderId="19" xfId="102" applyNumberFormat="1" applyFont="1" applyBorder="1" applyAlignment="1">
      <alignment horizontal="right" vertical="center"/>
      <protection/>
    </xf>
    <xf numFmtId="167" fontId="28" fillId="0" borderId="66" xfId="102" applyNumberFormat="1" applyFont="1" applyBorder="1" applyAlignment="1">
      <alignment horizontal="center" vertical="top" wrapText="1"/>
      <protection/>
    </xf>
    <xf numFmtId="167" fontId="28" fillId="0" borderId="65" xfId="102" applyNumberFormat="1" applyFont="1" applyBorder="1" applyAlignment="1">
      <alignment horizontal="center" vertical="top" wrapText="1"/>
      <protection/>
    </xf>
    <xf numFmtId="167" fontId="47" fillId="0" borderId="47" xfId="102" applyNumberFormat="1" applyFont="1" applyBorder="1" applyAlignment="1">
      <alignment horizontal="center" vertical="center"/>
      <protection/>
    </xf>
    <xf numFmtId="167" fontId="47" fillId="0" borderId="51" xfId="102" applyNumberFormat="1" applyFont="1" applyBorder="1" applyAlignment="1">
      <alignment horizontal="center" vertical="center"/>
      <protection/>
    </xf>
    <xf numFmtId="167" fontId="47" fillId="0" borderId="47" xfId="102" applyNumberFormat="1" applyFont="1" applyBorder="1" applyAlignment="1">
      <alignment horizontal="center" vertical="top" wrapText="1"/>
      <protection/>
    </xf>
    <xf numFmtId="167" fontId="47" fillId="0" borderId="51" xfId="102" applyNumberFormat="1" applyFont="1" applyBorder="1" applyAlignment="1">
      <alignment horizontal="center" vertical="top" wrapText="1"/>
      <protection/>
    </xf>
    <xf numFmtId="167" fontId="47" fillId="0" borderId="58" xfId="102" applyNumberFormat="1" applyFont="1" applyBorder="1" applyAlignment="1">
      <alignment horizontal="center" vertical="center" wrapText="1"/>
      <protection/>
    </xf>
    <xf numFmtId="167" fontId="47" fillId="0" borderId="52" xfId="102" applyNumberFormat="1" applyFont="1" applyBorder="1" applyAlignment="1">
      <alignment horizontal="center" vertical="center" wrapText="1"/>
      <protection/>
    </xf>
    <xf numFmtId="0" fontId="47" fillId="0" borderId="20" xfId="107" applyFont="1" applyFill="1" applyBorder="1" applyAlignment="1" applyProtection="1">
      <alignment horizontal="center" vertical="center"/>
      <protection/>
    </xf>
    <xf numFmtId="0" fontId="47" fillId="0" borderId="54" xfId="107" applyFont="1" applyFill="1" applyBorder="1" applyAlignment="1" applyProtection="1">
      <alignment horizontal="center" vertical="center"/>
      <protection/>
    </xf>
    <xf numFmtId="0" fontId="31" fillId="0" borderId="22" xfId="107" applyFont="1" applyFill="1" applyBorder="1" applyAlignment="1" applyProtection="1">
      <alignment horizontal="left" vertical="center"/>
      <protection/>
    </xf>
    <xf numFmtId="0" fontId="31" fillId="0" borderId="23" xfId="107" applyFont="1" applyFill="1" applyBorder="1" applyAlignment="1" applyProtection="1">
      <alignment horizontal="left" vertical="center"/>
      <protection/>
    </xf>
    <xf numFmtId="0" fontId="31" fillId="0" borderId="22" xfId="107" applyFont="1" applyFill="1" applyBorder="1" applyAlignment="1" applyProtection="1">
      <alignment horizontal="left" vertical="center" wrapText="1"/>
      <protection/>
    </xf>
    <xf numFmtId="0" fontId="31" fillId="0" borderId="23" xfId="107" applyFont="1" applyFill="1" applyBorder="1" applyAlignment="1" applyProtection="1">
      <alignment horizontal="left" vertical="center" wrapText="1"/>
      <protection/>
    </xf>
    <xf numFmtId="0" fontId="47" fillId="0" borderId="44" xfId="107" applyFont="1" applyFill="1" applyBorder="1" applyAlignment="1" applyProtection="1">
      <alignment horizontal="center" vertical="center"/>
      <protection/>
    </xf>
    <xf numFmtId="0" fontId="47" fillId="0" borderId="55" xfId="107" applyFont="1" applyFill="1" applyBorder="1" applyAlignment="1" applyProtection="1">
      <alignment horizontal="center" vertical="center"/>
      <protection/>
    </xf>
    <xf numFmtId="0" fontId="31" fillId="0" borderId="30" xfId="107" applyFont="1" applyFill="1" applyBorder="1" applyAlignment="1" applyProtection="1">
      <alignment horizontal="left" vertical="center"/>
      <protection/>
    </xf>
    <xf numFmtId="0" fontId="31" fillId="0" borderId="89" xfId="107" applyFont="1" applyFill="1" applyBorder="1" applyAlignment="1" applyProtection="1">
      <alignment horizontal="left" vertical="center"/>
      <protection/>
    </xf>
    <xf numFmtId="0" fontId="78" fillId="0" borderId="30" xfId="0" applyFont="1" applyFill="1" applyBorder="1" applyAlignment="1">
      <alignment horizontal="left" vertical="center" wrapText="1"/>
    </xf>
    <xf numFmtId="0" fontId="78" fillId="0" borderId="89" xfId="0" applyFont="1" applyFill="1" applyBorder="1" applyAlignment="1">
      <alignment horizontal="left" vertical="center" wrapText="1"/>
    </xf>
    <xf numFmtId="0" fontId="44" fillId="0" borderId="0" xfId="107" applyFont="1" applyFill="1" applyAlignment="1">
      <alignment horizontal="right" vertical="center"/>
      <protection/>
    </xf>
    <xf numFmtId="0" fontId="47" fillId="0" borderId="20" xfId="107" applyFont="1" applyFill="1" applyBorder="1" applyAlignment="1" applyProtection="1">
      <alignment horizontal="center" vertical="center" wrapText="1"/>
      <protection/>
    </xf>
    <xf numFmtId="0" fontId="47" fillId="0" borderId="54" xfId="107" applyFont="1" applyFill="1" applyBorder="1" applyAlignment="1" applyProtection="1">
      <alignment horizontal="center" vertical="center" wrapText="1"/>
      <protection/>
    </xf>
    <xf numFmtId="0" fontId="31" fillId="0" borderId="80" xfId="107" applyFont="1" applyFill="1" applyBorder="1" applyAlignment="1" applyProtection="1">
      <alignment horizontal="left" vertical="center"/>
      <protection/>
    </xf>
    <xf numFmtId="0" fontId="31" fillId="0" borderId="90" xfId="107" applyFont="1" applyFill="1" applyBorder="1" applyAlignment="1" applyProtection="1">
      <alignment horizontal="left" vertical="center"/>
      <protection/>
    </xf>
    <xf numFmtId="0" fontId="24" fillId="0" borderId="0" xfId="101" applyFont="1" applyFill="1" applyBorder="1" applyAlignment="1" applyProtection="1">
      <alignment horizontal="center" vertical="center" wrapText="1"/>
      <protection/>
    </xf>
    <xf numFmtId="0" fontId="70" fillId="0" borderId="0" xfId="101" applyFont="1" applyFill="1" applyAlignment="1">
      <alignment horizontal="right" vertical="center"/>
      <protection/>
    </xf>
    <xf numFmtId="3" fontId="10" fillId="0" borderId="0" xfId="101" applyNumberFormat="1" applyFont="1" applyAlignment="1">
      <alignment horizontal="center" vertical="center"/>
      <protection/>
    </xf>
    <xf numFmtId="3" fontId="74" fillId="0" borderId="0" xfId="101" applyNumberFormat="1" applyFont="1" applyAlignment="1">
      <alignment horizontal="center" vertical="center"/>
      <protection/>
    </xf>
    <xf numFmtId="0" fontId="87" fillId="0" borderId="0" xfId="101" applyNumberFormat="1" applyFont="1" applyAlignment="1">
      <alignment horizontal="center" vertical="center"/>
      <protection/>
    </xf>
    <xf numFmtId="3" fontId="87" fillId="0" borderId="0" xfId="101" applyNumberFormat="1" applyFont="1" applyAlignment="1">
      <alignment horizontal="center" vertical="center"/>
      <protection/>
    </xf>
    <xf numFmtId="3" fontId="88" fillId="0" borderId="53" xfId="101" applyNumberFormat="1" applyFont="1" applyFill="1" applyBorder="1" applyAlignment="1">
      <alignment horizontal="center" vertical="center" wrapText="1"/>
      <protection/>
    </xf>
    <xf numFmtId="3" fontId="88" fillId="0" borderId="45" xfId="101" applyNumberFormat="1" applyFont="1" applyFill="1" applyBorder="1" applyAlignment="1">
      <alignment horizontal="center" vertical="center" wrapText="1"/>
      <protection/>
    </xf>
    <xf numFmtId="3" fontId="88" fillId="0" borderId="27" xfId="101" applyNumberFormat="1" applyFont="1" applyFill="1" applyBorder="1" applyAlignment="1">
      <alignment horizontal="center" vertical="center"/>
      <protection/>
    </xf>
    <xf numFmtId="3" fontId="88" fillId="0" borderId="90" xfId="101" applyNumberFormat="1" applyFont="1" applyFill="1" applyBorder="1" applyAlignment="1">
      <alignment horizontal="center" vertical="center"/>
      <protection/>
    </xf>
    <xf numFmtId="3" fontId="88" fillId="0" borderId="50" xfId="101" applyNumberFormat="1" applyFont="1" applyFill="1" applyBorder="1" applyAlignment="1">
      <alignment horizontal="center" vertical="center"/>
      <protection/>
    </xf>
    <xf numFmtId="3" fontId="87" fillId="0" borderId="0" xfId="101" applyNumberFormat="1" applyFont="1" applyFill="1" applyBorder="1" applyAlignment="1">
      <alignment horizontal="center" vertical="center"/>
      <protection/>
    </xf>
    <xf numFmtId="0" fontId="89" fillId="0" borderId="26" xfId="101" applyFont="1" applyFill="1" applyBorder="1" applyAlignment="1">
      <alignment horizontal="center" vertical="center" wrapText="1"/>
      <protection/>
    </xf>
    <xf numFmtId="0" fontId="89" fillId="0" borderId="31" xfId="101" applyFont="1" applyFill="1" applyBorder="1" applyAlignment="1">
      <alignment horizontal="center" vertical="center" wrapText="1"/>
      <protection/>
    </xf>
    <xf numFmtId="0" fontId="89" fillId="0" borderId="72" xfId="101" applyFont="1" applyFill="1" applyBorder="1" applyAlignment="1">
      <alignment horizontal="center" vertical="center" wrapText="1"/>
      <protection/>
    </xf>
    <xf numFmtId="0" fontId="89" fillId="0" borderId="128" xfId="101" applyFont="1" applyFill="1" applyBorder="1" applyAlignment="1">
      <alignment horizontal="center" vertical="center" wrapText="1"/>
      <protection/>
    </xf>
    <xf numFmtId="0" fontId="89" fillId="0" borderId="74" xfId="101" applyFont="1" applyFill="1" applyBorder="1" applyAlignment="1">
      <alignment horizontal="center" vertical="center" wrapText="1"/>
      <protection/>
    </xf>
    <xf numFmtId="0" fontId="89" fillId="0" borderId="130" xfId="101" applyFont="1" applyFill="1" applyBorder="1" applyAlignment="1">
      <alignment horizontal="center" vertical="center" wrapText="1"/>
      <protection/>
    </xf>
    <xf numFmtId="3" fontId="27" fillId="0" borderId="70" xfId="101" applyNumberFormat="1" applyFont="1" applyFill="1" applyBorder="1" applyAlignment="1">
      <alignment horizontal="right" vertical="center"/>
      <protection/>
    </xf>
    <xf numFmtId="3" fontId="27" fillId="0" borderId="131" xfId="101" applyNumberFormat="1" applyFont="1" applyFill="1" applyBorder="1" applyAlignment="1">
      <alignment horizontal="right" vertical="center"/>
      <protection/>
    </xf>
    <xf numFmtId="3" fontId="27" fillId="0" borderId="75" xfId="101" applyNumberFormat="1" applyFont="1" applyFill="1" applyBorder="1" applyAlignment="1">
      <alignment horizontal="right" vertical="center"/>
      <protection/>
    </xf>
    <xf numFmtId="3" fontId="27" fillId="0" borderId="93" xfId="101" applyNumberFormat="1" applyFont="1" applyFill="1" applyBorder="1" applyAlignment="1">
      <alignment horizontal="right" vertical="center"/>
      <protection/>
    </xf>
    <xf numFmtId="3" fontId="25" fillId="0" borderId="74" xfId="101" applyNumberFormat="1" applyFont="1" applyFill="1" applyBorder="1" applyAlignment="1">
      <alignment horizontal="right" vertical="center"/>
      <protection/>
    </xf>
    <xf numFmtId="3" fontId="25" fillId="0" borderId="130" xfId="101" applyNumberFormat="1" applyFont="1" applyFill="1" applyBorder="1" applyAlignment="1">
      <alignment horizontal="right" vertical="center"/>
      <protection/>
    </xf>
    <xf numFmtId="167" fontId="59" fillId="0" borderId="57" xfId="97" applyNumberFormat="1" applyFont="1" applyFill="1" applyBorder="1" applyAlignment="1" applyProtection="1">
      <alignment horizontal="center" textRotation="180" wrapText="1"/>
      <protection/>
    </xf>
    <xf numFmtId="167" fontId="50" fillId="0" borderId="20" xfId="97" applyNumberFormat="1" applyFont="1" applyFill="1" applyBorder="1" applyAlignment="1" applyProtection="1">
      <alignment horizontal="left" vertical="center" wrapText="1" indent="2"/>
      <protection/>
    </xf>
    <xf numFmtId="167" fontId="50" fillId="0" borderId="55" xfId="97" applyNumberFormat="1" applyFont="1" applyFill="1" applyBorder="1" applyAlignment="1" applyProtection="1">
      <alignment horizontal="left" vertical="center" wrapText="1" indent="2"/>
      <protection/>
    </xf>
    <xf numFmtId="167" fontId="47" fillId="0" borderId="0" xfId="97" applyNumberFormat="1" applyFont="1" applyFill="1" applyAlignment="1" applyProtection="1">
      <alignment horizontal="center" vertical="center" wrapText="1"/>
      <protection/>
    </xf>
    <xf numFmtId="167" fontId="50" fillId="0" borderId="132" xfId="97" applyNumberFormat="1" applyFont="1" applyFill="1" applyBorder="1" applyAlignment="1" applyProtection="1">
      <alignment horizontal="center" vertical="center" wrapText="1"/>
      <protection/>
    </xf>
    <xf numFmtId="167" fontId="50" fillId="0" borderId="133" xfId="97" applyNumberFormat="1" applyFont="1" applyFill="1" applyBorder="1" applyAlignment="1" applyProtection="1">
      <alignment horizontal="center" vertical="center" wrapText="1"/>
      <protection/>
    </xf>
    <xf numFmtId="167" fontId="50" fillId="0" borderId="132" xfId="97" applyNumberFormat="1" applyFont="1" applyFill="1" applyBorder="1" applyAlignment="1" applyProtection="1">
      <alignment horizontal="center" vertical="center"/>
      <protection/>
    </xf>
    <xf numFmtId="167" fontId="50" fillId="0" borderId="133" xfId="97" applyNumberFormat="1" applyFont="1" applyFill="1" applyBorder="1" applyAlignment="1" applyProtection="1">
      <alignment horizontal="center" vertical="center"/>
      <protection/>
    </xf>
    <xf numFmtId="49" fontId="50" fillId="0" borderId="132" xfId="97" applyNumberFormat="1" applyFont="1" applyFill="1" applyBorder="1" applyAlignment="1" applyProtection="1">
      <alignment horizontal="center" vertical="center" wrapText="1"/>
      <protection/>
    </xf>
    <xf numFmtId="49" fontId="50" fillId="0" borderId="133" xfId="97" applyNumberFormat="1" applyFont="1" applyFill="1" applyBorder="1" applyAlignment="1" applyProtection="1">
      <alignment horizontal="center" vertical="center" wrapText="1"/>
      <protection/>
    </xf>
    <xf numFmtId="167" fontId="50" fillId="0" borderId="80" xfId="97" applyNumberFormat="1" applyFont="1" applyFill="1" applyBorder="1" applyAlignment="1" applyProtection="1">
      <alignment horizontal="center" vertical="center"/>
      <protection/>
    </xf>
    <xf numFmtId="167" fontId="50" fillId="0" borderId="56" xfId="97" applyNumberFormat="1" applyFont="1" applyFill="1" applyBorder="1" applyAlignment="1" applyProtection="1">
      <alignment horizontal="center" vertical="center"/>
      <protection/>
    </xf>
    <xf numFmtId="167" fontId="50" fillId="0" borderId="123" xfId="97" applyNumberFormat="1" applyFont="1" applyFill="1" applyBorder="1" applyAlignment="1" applyProtection="1">
      <alignment horizontal="center" vertical="center"/>
      <protection/>
    </xf>
    <xf numFmtId="3" fontId="29" fillId="52" borderId="67" xfId="95" applyNumberFormat="1" applyFont="1" applyFill="1" applyBorder="1" applyAlignment="1">
      <alignment horizontal="right" vertical="center"/>
      <protection/>
    </xf>
    <xf numFmtId="3" fontId="29" fillId="52" borderId="71" xfId="95" applyNumberFormat="1" applyFont="1" applyFill="1" applyBorder="1" applyAlignment="1">
      <alignment horizontal="right" vertical="center"/>
      <protection/>
    </xf>
    <xf numFmtId="3" fontId="29" fillId="52" borderId="75" xfId="95" applyNumberFormat="1" applyFont="1" applyFill="1" applyBorder="1" applyAlignment="1">
      <alignment horizontal="right" vertical="center"/>
      <protection/>
    </xf>
    <xf numFmtId="3" fontId="29" fillId="52" borderId="93" xfId="95" applyNumberFormat="1" applyFont="1" applyFill="1" applyBorder="1" applyAlignment="1">
      <alignment horizontal="right" vertical="center"/>
      <protection/>
    </xf>
    <xf numFmtId="0" fontId="47" fillId="52" borderId="0" xfId="95" applyFont="1" applyFill="1" applyAlignment="1">
      <alignment horizontal="center"/>
      <protection/>
    </xf>
    <xf numFmtId="0" fontId="59" fillId="52" borderId="19" xfId="95" applyFont="1" applyFill="1" applyBorder="1" applyAlignment="1">
      <alignment horizontal="right"/>
      <protection/>
    </xf>
    <xf numFmtId="0" fontId="29" fillId="52" borderId="73" xfId="95" applyFont="1" applyFill="1" applyBorder="1" applyAlignment="1">
      <alignment horizontal="center" vertical="center" wrapText="1"/>
      <protection/>
    </xf>
    <xf numFmtId="0" fontId="29" fillId="52" borderId="123" xfId="95" applyFont="1" applyFill="1" applyBorder="1" applyAlignment="1">
      <alignment horizontal="center" vertical="center" wrapText="1"/>
      <protection/>
    </xf>
    <xf numFmtId="0" fontId="43" fillId="0" borderId="0" xfId="100" applyFont="1" applyFill="1" applyAlignment="1">
      <alignment horizontal="right"/>
      <protection/>
    </xf>
    <xf numFmtId="0" fontId="28" fillId="0" borderId="0" xfId="100" applyFont="1" applyFill="1" applyAlignment="1" applyProtection="1">
      <alignment horizontal="center" vertical="top" wrapText="1"/>
      <protection locked="0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(1)" xfId="102"/>
    <cellStyle name="Normál_1_-_II_Tajekoztato_tablak 2" xfId="103"/>
    <cellStyle name="Normál_2007. év költségvetés terv 1.mellékletek" xfId="104"/>
    <cellStyle name="Normál_2008. év költségvetés terv 1. sz. melléklet" xfId="105"/>
    <cellStyle name="Normál_Dologi kiadás" xfId="106"/>
    <cellStyle name="Normál_KVRENMUNKA" xfId="107"/>
    <cellStyle name="Normál_VAGYONK" xfId="108"/>
    <cellStyle name="Normál_VAGYONKIM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Title" xfId="119"/>
    <cellStyle name="Total" xfId="120"/>
    <cellStyle name="Warning Text" xfId="12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2"/>
  <sheetViews>
    <sheetView zoomScale="70" zoomScaleNormal="70" workbookViewId="0" topLeftCell="A46">
      <selection activeCell="D67" sqref="D67"/>
    </sheetView>
  </sheetViews>
  <sheetFormatPr defaultColWidth="9.140625" defaultRowHeight="12.75"/>
  <cols>
    <col min="1" max="2" width="5.7109375" style="100" customWidth="1"/>
    <col min="3" max="3" width="8.8515625" style="100" customWidth="1"/>
    <col min="4" max="4" width="61.7109375" style="20" customWidth="1"/>
    <col min="5" max="5" width="24.28125" style="336" customWidth="1"/>
    <col min="6" max="6" width="19.140625" style="336" hidden="1" customWidth="1"/>
    <col min="7" max="9" width="16.7109375" style="336" hidden="1" customWidth="1"/>
    <col min="10" max="12" width="16.7109375" style="336" customWidth="1"/>
    <col min="13" max="13" width="16.7109375" style="337" customWidth="1"/>
    <col min="14" max="14" width="19.140625" style="337" hidden="1" customWidth="1"/>
    <col min="15" max="15" width="18.7109375" style="337" hidden="1" customWidth="1"/>
    <col min="16" max="16" width="17.421875" style="337" hidden="1" customWidth="1"/>
    <col min="17" max="17" width="16.140625" style="337" hidden="1" customWidth="1"/>
    <col min="18" max="19" width="16.28125" style="337" customWidth="1"/>
    <col min="20" max="20" width="11.57421875" style="337" customWidth="1"/>
    <col min="21" max="21" width="17.140625" style="338" customWidth="1"/>
    <col min="22" max="22" width="14.8515625" style="337" hidden="1" customWidth="1"/>
    <col min="23" max="23" width="15.00390625" style="337" hidden="1" customWidth="1"/>
    <col min="24" max="24" width="14.421875" style="337" hidden="1" customWidth="1"/>
    <col min="25" max="25" width="15.00390625" style="338" hidden="1" customWidth="1"/>
    <col min="26" max="26" width="15.421875" style="338" customWidth="1"/>
    <col min="27" max="27" width="16.00390625" style="338" customWidth="1"/>
    <col min="28" max="28" width="13.28125" style="338" customWidth="1"/>
    <col min="29" max="16384" width="9.140625" style="338" customWidth="1"/>
  </cols>
  <sheetData>
    <row r="1" spans="1:21" ht="12.75">
      <c r="A1" s="97"/>
      <c r="B1" s="97"/>
      <c r="C1" s="97"/>
      <c r="D1" s="98"/>
      <c r="U1" s="58" t="s">
        <v>430</v>
      </c>
    </row>
    <row r="2" spans="1:24" s="340" customFormat="1" ht="34.5" customHeight="1">
      <c r="A2" s="1324" t="s">
        <v>506</v>
      </c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  <c r="Q2" s="1324"/>
      <c r="R2" s="1324"/>
      <c r="S2" s="1324"/>
      <c r="T2" s="1324"/>
      <c r="U2" s="1324"/>
      <c r="V2" s="253"/>
      <c r="W2" s="339"/>
      <c r="X2" s="339"/>
    </row>
    <row r="3" spans="1:21" ht="13.5" thickBot="1">
      <c r="A3" s="99"/>
      <c r="B3" s="99"/>
      <c r="C3" s="99"/>
      <c r="D3" s="95"/>
      <c r="M3" s="81"/>
      <c r="N3" s="81"/>
      <c r="O3" s="81"/>
      <c r="P3" s="81"/>
      <c r="Q3" s="81"/>
      <c r="R3" s="81"/>
      <c r="S3" s="81"/>
      <c r="T3" s="81"/>
      <c r="U3" s="43" t="s">
        <v>505</v>
      </c>
    </row>
    <row r="4" spans="1:28" ht="45.75" customHeight="1" thickBot="1">
      <c r="A4" s="1325" t="s">
        <v>6</v>
      </c>
      <c r="B4" s="1326"/>
      <c r="C4" s="1326"/>
      <c r="D4" s="341" t="s">
        <v>9</v>
      </c>
      <c r="E4" s="1316" t="s">
        <v>5</v>
      </c>
      <c r="F4" s="1317"/>
      <c r="G4" s="1317"/>
      <c r="H4" s="1317"/>
      <c r="I4" s="1317"/>
      <c r="J4" s="1317"/>
      <c r="K4" s="1317"/>
      <c r="L4" s="1318"/>
      <c r="M4" s="1319" t="s">
        <v>65</v>
      </c>
      <c r="N4" s="1320"/>
      <c r="O4" s="1320"/>
      <c r="P4" s="1320"/>
      <c r="Q4" s="1320"/>
      <c r="R4" s="1320"/>
      <c r="S4" s="1321"/>
      <c r="T4" s="1322"/>
      <c r="U4" s="1319" t="s">
        <v>66</v>
      </c>
      <c r="V4" s="1320"/>
      <c r="W4" s="1320"/>
      <c r="X4" s="1320"/>
      <c r="Y4" s="1320"/>
      <c r="Z4" s="1320"/>
      <c r="AA4" s="1321"/>
      <c r="AB4" s="1322"/>
    </row>
    <row r="5" spans="1:28" ht="45.75" customHeight="1" thickBot="1">
      <c r="A5" s="319"/>
      <c r="B5" s="320"/>
      <c r="C5" s="320"/>
      <c r="D5" s="341"/>
      <c r="E5" s="375" t="s">
        <v>69</v>
      </c>
      <c r="F5" s="376" t="s">
        <v>236</v>
      </c>
      <c r="G5" s="376" t="s">
        <v>241</v>
      </c>
      <c r="H5" s="376" t="s">
        <v>244</v>
      </c>
      <c r="I5" s="376" t="s">
        <v>490</v>
      </c>
      <c r="J5" s="376" t="s">
        <v>496</v>
      </c>
      <c r="K5" s="1019" t="s">
        <v>432</v>
      </c>
      <c r="L5" s="377" t="s">
        <v>485</v>
      </c>
      <c r="M5" s="375" t="s">
        <v>69</v>
      </c>
      <c r="N5" s="376" t="s">
        <v>236</v>
      </c>
      <c r="O5" s="376" t="s">
        <v>241</v>
      </c>
      <c r="P5" s="376" t="s">
        <v>244</v>
      </c>
      <c r="Q5" s="376" t="s">
        <v>490</v>
      </c>
      <c r="R5" s="376" t="s">
        <v>496</v>
      </c>
      <c r="S5" s="1019" t="s">
        <v>432</v>
      </c>
      <c r="T5" s="377" t="s">
        <v>485</v>
      </c>
      <c r="U5" s="375" t="s">
        <v>69</v>
      </c>
      <c r="V5" s="376" t="s">
        <v>236</v>
      </c>
      <c r="W5" s="376" t="s">
        <v>241</v>
      </c>
      <c r="X5" s="376" t="s">
        <v>244</v>
      </c>
      <c r="Y5" s="376" t="s">
        <v>490</v>
      </c>
      <c r="Z5" s="376" t="s">
        <v>496</v>
      </c>
      <c r="AA5" s="1019" t="s">
        <v>432</v>
      </c>
      <c r="AB5" s="377" t="s">
        <v>485</v>
      </c>
    </row>
    <row r="6" spans="1:28" s="7" customFormat="1" ht="21.75" customHeight="1" thickBot="1">
      <c r="A6" s="110"/>
      <c r="B6" s="1300"/>
      <c r="C6" s="1300"/>
      <c r="D6" s="1300"/>
      <c r="E6" s="378"/>
      <c r="F6" s="294"/>
      <c r="G6" s="294"/>
      <c r="H6" s="294"/>
      <c r="I6" s="294"/>
      <c r="J6" s="294"/>
      <c r="K6" s="1020"/>
      <c r="L6" s="757"/>
      <c r="M6" s="378"/>
      <c r="N6" s="294"/>
      <c r="O6" s="294"/>
      <c r="P6" s="294"/>
      <c r="Q6" s="294"/>
      <c r="R6" s="294"/>
      <c r="S6" s="1020"/>
      <c r="T6" s="757"/>
      <c r="U6" s="378"/>
      <c r="V6" s="294"/>
      <c r="W6" s="294"/>
      <c r="X6" s="294"/>
      <c r="Y6" s="294"/>
      <c r="Z6" s="294"/>
      <c r="AA6" s="1020"/>
      <c r="AB6" s="757"/>
    </row>
    <row r="7" spans="1:28" s="7" customFormat="1" ht="21.75" customHeight="1" thickBot="1">
      <c r="A7" s="110" t="s">
        <v>29</v>
      </c>
      <c r="B7" s="1300" t="s">
        <v>297</v>
      </c>
      <c r="C7" s="1300"/>
      <c r="D7" s="1300"/>
      <c r="E7" s="378">
        <f aca="true" t="shared" si="0" ref="E7:P7">E8+E13+E16+E17+E20</f>
        <v>131360000</v>
      </c>
      <c r="F7" s="294">
        <f t="shared" si="0"/>
        <v>131360000</v>
      </c>
      <c r="G7" s="294">
        <f t="shared" si="0"/>
        <v>132164653</v>
      </c>
      <c r="H7" s="294">
        <f>H8+H13+H16+H17+H20</f>
        <v>132326841</v>
      </c>
      <c r="I7" s="294">
        <f>I8+I13+I16+I17+I20</f>
        <v>134376203</v>
      </c>
      <c r="J7" s="294">
        <f>J8+J13+J16+J17+J20</f>
        <v>178846325</v>
      </c>
      <c r="K7" s="294">
        <f>K8+K13+K16+K17+K20</f>
        <v>170438843</v>
      </c>
      <c r="L7" s="758">
        <f>K7/J7</f>
        <v>0.9529904682134229</v>
      </c>
      <c r="M7" s="378">
        <f t="shared" si="0"/>
        <v>110712207</v>
      </c>
      <c r="N7" s="294">
        <f t="shared" si="0"/>
        <v>110712207</v>
      </c>
      <c r="O7" s="294">
        <f t="shared" si="0"/>
        <v>111506860</v>
      </c>
      <c r="P7" s="294">
        <f t="shared" si="0"/>
        <v>111439048</v>
      </c>
      <c r="Q7" s="294">
        <f>Q8+Q13+Q16+Q17+Q20</f>
        <v>113488410</v>
      </c>
      <c r="R7" s="294">
        <f>R8+R13+R16+R17+R20</f>
        <v>157745992</v>
      </c>
      <c r="S7" s="294">
        <f>S8+S13+S16+S17+S20</f>
        <v>149338510</v>
      </c>
      <c r="T7" s="758">
        <f>R7/P7</f>
        <v>1.4155360695471841</v>
      </c>
      <c r="U7" s="378">
        <f aca="true" t="shared" si="1" ref="U7:Z7">U8+U13+U16+U17+U20</f>
        <v>20647793</v>
      </c>
      <c r="V7" s="294">
        <f t="shared" si="1"/>
        <v>20647793</v>
      </c>
      <c r="W7" s="294">
        <f t="shared" si="1"/>
        <v>20657793</v>
      </c>
      <c r="X7" s="294">
        <f t="shared" si="1"/>
        <v>20887793</v>
      </c>
      <c r="Y7" s="294">
        <f t="shared" si="1"/>
        <v>20887793</v>
      </c>
      <c r="Z7" s="294">
        <f t="shared" si="1"/>
        <v>21100333</v>
      </c>
      <c r="AA7" s="294">
        <f>AA8+AA13+AA16+AA17+AA20</f>
        <v>21100333</v>
      </c>
      <c r="AB7" s="758"/>
    </row>
    <row r="8" spans="1:28" ht="21.75" customHeight="1">
      <c r="A8" s="630"/>
      <c r="B8" s="255" t="s">
        <v>38</v>
      </c>
      <c r="C8" s="1323" t="s">
        <v>298</v>
      </c>
      <c r="D8" s="1323"/>
      <c r="E8" s="464">
        <f aca="true" t="shared" si="2" ref="E8:P8">SUM(E9:E12)</f>
        <v>18000000</v>
      </c>
      <c r="F8" s="465">
        <f t="shared" si="2"/>
        <v>18000000</v>
      </c>
      <c r="G8" s="465">
        <f t="shared" si="2"/>
        <v>18000000</v>
      </c>
      <c r="H8" s="465">
        <f>SUM(H9:H12)</f>
        <v>18000000</v>
      </c>
      <c r="I8" s="465">
        <f>SUM(I9:I12)</f>
        <v>18601694</v>
      </c>
      <c r="J8" s="465">
        <f>SUM(J9:J12)</f>
        <v>18567953</v>
      </c>
      <c r="K8" s="465">
        <f>SUM(K9:K12)</f>
        <v>18416254</v>
      </c>
      <c r="L8" s="759">
        <f aca="true" t="shared" si="3" ref="L8:L63">K8/J8</f>
        <v>0.9918300633354684</v>
      </c>
      <c r="M8" s="464">
        <f t="shared" si="2"/>
        <v>18000000</v>
      </c>
      <c r="N8" s="465">
        <f t="shared" si="2"/>
        <v>18000000</v>
      </c>
      <c r="O8" s="465">
        <f t="shared" si="2"/>
        <v>18000000</v>
      </c>
      <c r="P8" s="465">
        <f t="shared" si="2"/>
        <v>18000000</v>
      </c>
      <c r="Q8" s="465">
        <f>SUM(Q9:Q12)</f>
        <v>18601694</v>
      </c>
      <c r="R8" s="465">
        <f>SUM(R9:R12)</f>
        <v>18567953</v>
      </c>
      <c r="S8" s="465">
        <f>SUM(S9:S12)</f>
        <v>18416254</v>
      </c>
      <c r="T8" s="759">
        <f>R8/P8</f>
        <v>1.0315529444444445</v>
      </c>
      <c r="U8" s="464">
        <v>0</v>
      </c>
      <c r="V8" s="465"/>
      <c r="W8" s="465"/>
      <c r="X8" s="465"/>
      <c r="Y8" s="465"/>
      <c r="Z8" s="465"/>
      <c r="AA8" s="465"/>
      <c r="AB8" s="759"/>
    </row>
    <row r="9" spans="1:28" ht="21.75" customHeight="1">
      <c r="A9" s="107"/>
      <c r="B9" s="103"/>
      <c r="C9" s="103" t="s">
        <v>303</v>
      </c>
      <c r="D9" s="342" t="s">
        <v>299</v>
      </c>
      <c r="E9" s="380">
        <f>'3.sz.m Önk  bev.'!E9</f>
        <v>0</v>
      </c>
      <c r="F9" s="296">
        <f>'3.sz.m Önk  bev.'!F9</f>
        <v>0</v>
      </c>
      <c r="G9" s="296">
        <f>'3.sz.m Önk  bev.'!G9</f>
        <v>0</v>
      </c>
      <c r="H9" s="296">
        <f>'3.sz.m Önk  bev.'!H9</f>
        <v>0</v>
      </c>
      <c r="I9" s="296">
        <f>'3.sz.m Önk  bev.'!I9</f>
        <v>0</v>
      </c>
      <c r="J9" s="296">
        <f>'3.sz.m Önk  bev.'!J9</f>
        <v>0</v>
      </c>
      <c r="K9" s="296">
        <f>'3.sz.m Önk  bev.'!K9</f>
        <v>0</v>
      </c>
      <c r="L9" s="760"/>
      <c r="M9" s="380">
        <f>'3.sz.m Önk  bev.'!M9</f>
        <v>0</v>
      </c>
      <c r="N9" s="296">
        <f>'3.sz.m Önk  bev.'!N9</f>
        <v>0</v>
      </c>
      <c r="O9" s="296">
        <f>'3.sz.m Önk  bev.'!O9</f>
        <v>0</v>
      </c>
      <c r="P9" s="296">
        <f>'3.sz.m Önk  bev.'!P9</f>
        <v>0</v>
      </c>
      <c r="Q9" s="296">
        <f>'3.sz.m Önk  bev.'!Q9</f>
        <v>0</v>
      </c>
      <c r="R9" s="296">
        <f>'3.sz.m Önk  bev.'!R9</f>
        <v>0</v>
      </c>
      <c r="S9" s="296">
        <f>'3.sz.m Önk  bev.'!S9</f>
        <v>0</v>
      </c>
      <c r="T9" s="760"/>
      <c r="U9" s="380">
        <v>0</v>
      </c>
      <c r="V9" s="296"/>
      <c r="W9" s="296"/>
      <c r="X9" s="296"/>
      <c r="Y9" s="296"/>
      <c r="Z9" s="296"/>
      <c r="AA9" s="296"/>
      <c r="AB9" s="760"/>
    </row>
    <row r="10" spans="1:28" ht="21.75" customHeight="1">
      <c r="A10" s="107"/>
      <c r="B10" s="103"/>
      <c r="C10" s="103" t="s">
        <v>304</v>
      </c>
      <c r="D10" s="342" t="s">
        <v>283</v>
      </c>
      <c r="E10" s="380">
        <f>'3.sz.m Önk  bev.'!E10</f>
        <v>0</v>
      </c>
      <c r="F10" s="296">
        <f>'3.sz.m Önk  bev.'!F10</f>
        <v>0</v>
      </c>
      <c r="G10" s="296">
        <f>'3.sz.m Önk  bev.'!G10</f>
        <v>0</v>
      </c>
      <c r="H10" s="296">
        <f>'3.sz.m Önk  bev.'!H10</f>
        <v>0</v>
      </c>
      <c r="I10" s="296">
        <f>'3.sz.m Önk  bev.'!I10</f>
        <v>0</v>
      </c>
      <c r="J10" s="296">
        <f>'3.sz.m Önk  bev.'!J10</f>
        <v>0</v>
      </c>
      <c r="K10" s="296">
        <f>'3.sz.m Önk  bev.'!K10</f>
        <v>0</v>
      </c>
      <c r="L10" s="760"/>
      <c r="M10" s="380">
        <f>'3.sz.m Önk  bev.'!M10</f>
        <v>0</v>
      </c>
      <c r="N10" s="296">
        <f>'3.sz.m Önk  bev.'!N10</f>
        <v>0</v>
      </c>
      <c r="O10" s="296">
        <f>'3.sz.m Önk  bev.'!O10</f>
        <v>0</v>
      </c>
      <c r="P10" s="296">
        <f>'3.sz.m Önk  bev.'!P10</f>
        <v>0</v>
      </c>
      <c r="Q10" s="296">
        <f>'3.sz.m Önk  bev.'!Q10</f>
        <v>0</v>
      </c>
      <c r="R10" s="296">
        <f>'3.sz.m Önk  bev.'!R10</f>
        <v>0</v>
      </c>
      <c r="S10" s="296">
        <f>'3.sz.m Önk  bev.'!S10</f>
        <v>0</v>
      </c>
      <c r="T10" s="760"/>
      <c r="U10" s="380">
        <v>0</v>
      </c>
      <c r="V10" s="296"/>
      <c r="W10" s="296"/>
      <c r="X10" s="296"/>
      <c r="Y10" s="296"/>
      <c r="Z10" s="296"/>
      <c r="AA10" s="296"/>
      <c r="AB10" s="760"/>
    </row>
    <row r="11" spans="1:28" ht="21.75" customHeight="1">
      <c r="A11" s="107"/>
      <c r="B11" s="103"/>
      <c r="C11" s="103" t="s">
        <v>305</v>
      </c>
      <c r="D11" s="342" t="s">
        <v>282</v>
      </c>
      <c r="E11" s="380">
        <f>'3.sz.m Önk  bev.'!E11</f>
        <v>18000000</v>
      </c>
      <c r="F11" s="296">
        <f>'3.sz.m Önk  bev.'!F11</f>
        <v>18000000</v>
      </c>
      <c r="G11" s="296">
        <f>'3.sz.m Önk  bev.'!G11</f>
        <v>18000000</v>
      </c>
      <c r="H11" s="296">
        <f>'3.sz.m Önk  bev.'!H11</f>
        <v>18000000</v>
      </c>
      <c r="I11" s="296">
        <f>'3.sz.m Önk  bev.'!I11</f>
        <v>18601694</v>
      </c>
      <c r="J11" s="296">
        <f>'3.sz.m Önk  bev.'!J11</f>
        <v>18567953</v>
      </c>
      <c r="K11" s="296">
        <f>'3.sz.m Önk  bev.'!K11</f>
        <v>18416254</v>
      </c>
      <c r="L11" s="760">
        <f t="shared" si="3"/>
        <v>0.9918300633354684</v>
      </c>
      <c r="M11" s="380">
        <f>'3.sz.m Önk  bev.'!M11</f>
        <v>18000000</v>
      </c>
      <c r="N11" s="296">
        <f>'3.sz.m Önk  bev.'!N11</f>
        <v>18000000</v>
      </c>
      <c r="O11" s="296">
        <f>'3.sz.m Önk  bev.'!O11</f>
        <v>18000000</v>
      </c>
      <c r="P11" s="296">
        <f>'3.sz.m Önk  bev.'!P11</f>
        <v>18000000</v>
      </c>
      <c r="Q11" s="296">
        <f>'3.sz.m Önk  bev.'!Q11</f>
        <v>18601694</v>
      </c>
      <c r="R11" s="296">
        <f>'3.sz.m Önk  bev.'!R11</f>
        <v>18567953</v>
      </c>
      <c r="S11" s="296">
        <f>'3.sz.m Önk  bev.'!S11</f>
        <v>18416254</v>
      </c>
      <c r="T11" s="760">
        <f aca="true" t="shared" si="4" ref="T11:T63">R11/P11</f>
        <v>1.0315529444444445</v>
      </c>
      <c r="U11" s="380">
        <v>0</v>
      </c>
      <c r="V11" s="296"/>
      <c r="W11" s="296"/>
      <c r="X11" s="296"/>
      <c r="Y11" s="296"/>
      <c r="Z11" s="296"/>
      <c r="AA11" s="296"/>
      <c r="AB11" s="760"/>
    </row>
    <row r="12" spans="1:36" ht="21.75" customHeight="1" hidden="1">
      <c r="A12" s="107"/>
      <c r="B12" s="103"/>
      <c r="C12" s="103"/>
      <c r="D12" s="342"/>
      <c r="E12" s="380"/>
      <c r="F12" s="296"/>
      <c r="G12" s="296"/>
      <c r="H12" s="296"/>
      <c r="I12" s="296"/>
      <c r="J12" s="296"/>
      <c r="K12" s="296"/>
      <c r="L12" s="760" t="e">
        <f t="shared" si="3"/>
        <v>#DIV/0!</v>
      </c>
      <c r="M12" s="380"/>
      <c r="N12" s="296"/>
      <c r="O12" s="296"/>
      <c r="P12" s="296"/>
      <c r="Q12" s="296"/>
      <c r="R12" s="296"/>
      <c r="S12" s="296"/>
      <c r="T12" s="760" t="e">
        <f t="shared" si="4"/>
        <v>#DIV/0!</v>
      </c>
      <c r="U12" s="380"/>
      <c r="V12" s="296"/>
      <c r="W12" s="296"/>
      <c r="X12" s="296"/>
      <c r="Y12" s="296"/>
      <c r="Z12" s="296"/>
      <c r="AA12" s="296"/>
      <c r="AB12" s="760"/>
      <c r="AJ12" s="338" t="s">
        <v>257</v>
      </c>
    </row>
    <row r="13" spans="1:28" ht="21.75" customHeight="1">
      <c r="A13" s="107"/>
      <c r="B13" s="103" t="s">
        <v>39</v>
      </c>
      <c r="C13" s="1311" t="s">
        <v>300</v>
      </c>
      <c r="D13" s="1311"/>
      <c r="E13" s="380">
        <f aca="true" t="shared" si="5" ref="E13:U13">SUM(E14:E15)</f>
        <v>100000000</v>
      </c>
      <c r="F13" s="296">
        <f t="shared" si="5"/>
        <v>100000000</v>
      </c>
      <c r="G13" s="296">
        <f t="shared" si="5"/>
        <v>100000000</v>
      </c>
      <c r="H13" s="296">
        <f>SUM(H14:H15)</f>
        <v>100000000</v>
      </c>
      <c r="I13" s="296">
        <f>SUM(I14:I15)</f>
        <v>100000000</v>
      </c>
      <c r="J13" s="296">
        <f>SUM(J14:J15)</f>
        <v>142102983</v>
      </c>
      <c r="K13" s="296">
        <f>SUM(K14:K15)</f>
        <v>136590768</v>
      </c>
      <c r="L13" s="760">
        <f t="shared" si="3"/>
        <v>0.9612097164772396</v>
      </c>
      <c r="M13" s="380">
        <f t="shared" si="5"/>
        <v>79352207</v>
      </c>
      <c r="N13" s="296">
        <f t="shared" si="5"/>
        <v>79352207</v>
      </c>
      <c r="O13" s="296">
        <f t="shared" si="5"/>
        <v>79342207</v>
      </c>
      <c r="P13" s="296">
        <f t="shared" si="5"/>
        <v>79112207</v>
      </c>
      <c r="Q13" s="983">
        <f>SUM(Q14:Q15)</f>
        <v>79112207</v>
      </c>
      <c r="R13" s="296">
        <f>SUM(R14:R15)</f>
        <v>121002650</v>
      </c>
      <c r="S13" s="296">
        <f>SUM(S14:S15)</f>
        <v>115490435</v>
      </c>
      <c r="T13" s="760">
        <f t="shared" si="4"/>
        <v>1.529506691679073</v>
      </c>
      <c r="U13" s="380">
        <f t="shared" si="5"/>
        <v>20647793</v>
      </c>
      <c r="V13" s="296">
        <f aca="true" t="shared" si="6" ref="V13:AA13">SUM(V14:V15)</f>
        <v>20647793</v>
      </c>
      <c r="W13" s="296">
        <f t="shared" si="6"/>
        <v>20657793</v>
      </c>
      <c r="X13" s="296">
        <f t="shared" si="6"/>
        <v>20887793</v>
      </c>
      <c r="Y13" s="296">
        <f t="shared" si="6"/>
        <v>20887793</v>
      </c>
      <c r="Z13" s="296">
        <f t="shared" si="6"/>
        <v>21100333</v>
      </c>
      <c r="AA13" s="296">
        <f t="shared" si="6"/>
        <v>21100333</v>
      </c>
      <c r="AB13" s="760"/>
    </row>
    <row r="14" spans="1:28" ht="21.75" customHeight="1">
      <c r="A14" s="107"/>
      <c r="B14" s="103"/>
      <c r="C14" s="103" t="s">
        <v>301</v>
      </c>
      <c r="D14" s="575" t="s">
        <v>306</v>
      </c>
      <c r="E14" s="380">
        <f>'3.sz.m Önk  bev.'!E14</f>
        <v>100000000</v>
      </c>
      <c r="F14" s="296">
        <f>'3.sz.m Önk  bev.'!F14</f>
        <v>100000000</v>
      </c>
      <c r="G14" s="296">
        <f>'3.sz.m Önk  bev.'!G14</f>
        <v>100000000</v>
      </c>
      <c r="H14" s="296">
        <f>'3.sz.m Önk  bev.'!H14</f>
        <v>100000000</v>
      </c>
      <c r="I14" s="296">
        <f>'3.sz.m Önk  bev.'!I14</f>
        <v>100000000</v>
      </c>
      <c r="J14" s="296">
        <f>'3.sz.m Önk  bev.'!J14</f>
        <v>142102983</v>
      </c>
      <c r="K14" s="296">
        <f>'3.sz.m Önk  bev.'!K14</f>
        <v>136590768</v>
      </c>
      <c r="L14" s="760">
        <f t="shared" si="3"/>
        <v>0.9612097164772396</v>
      </c>
      <c r="M14" s="380">
        <f>'3.sz.m Önk  bev.'!M14</f>
        <v>79352207</v>
      </c>
      <c r="N14" s="296">
        <f>'3.sz.m Önk  bev.'!N14</f>
        <v>79352207</v>
      </c>
      <c r="O14" s="296">
        <f>'3.sz.m Önk  bev.'!O14</f>
        <v>79342207</v>
      </c>
      <c r="P14" s="296">
        <f>'3.sz.m Önk  bev.'!P14</f>
        <v>79112207</v>
      </c>
      <c r="Q14" s="296">
        <f>'3.sz.m Önk  bev.'!Q14</f>
        <v>79112207</v>
      </c>
      <c r="R14" s="296">
        <f>'3.sz.m Önk  bev.'!R14</f>
        <v>121002650</v>
      </c>
      <c r="S14" s="296">
        <f>'3.sz.m Önk  bev.'!S14</f>
        <v>115490435</v>
      </c>
      <c r="T14" s="760">
        <f t="shared" si="4"/>
        <v>1.529506691679073</v>
      </c>
      <c r="U14" s="380">
        <f>'3.sz.m Önk  bev.'!U14</f>
        <v>20647793</v>
      </c>
      <c r="V14" s="296">
        <f>'3.sz.m Önk  bev.'!V14</f>
        <v>20647793</v>
      </c>
      <c r="W14" s="296">
        <f>'3.sz.m Önk  bev.'!W14</f>
        <v>20657793</v>
      </c>
      <c r="X14" s="296">
        <f>'3.sz.m Önk  bev.'!X14</f>
        <v>20887793</v>
      </c>
      <c r="Y14" s="296">
        <f>'3.sz.m Önk  bev.'!Y14</f>
        <v>20887793</v>
      </c>
      <c r="Z14" s="296">
        <f>'3.sz.m Önk  bev.'!Z14</f>
        <v>21100333</v>
      </c>
      <c r="AA14" s="296">
        <f>'3.sz.m Önk  bev.'!AA14</f>
        <v>21100333</v>
      </c>
      <c r="AB14" s="760"/>
    </row>
    <row r="15" spans="1:28" ht="21.75" customHeight="1">
      <c r="A15" s="107"/>
      <c r="B15" s="103"/>
      <c r="C15" s="103" t="s">
        <v>302</v>
      </c>
      <c r="D15" s="575" t="s">
        <v>307</v>
      </c>
      <c r="E15" s="380">
        <f>'3.sz.m Önk  bev.'!E15</f>
        <v>0</v>
      </c>
      <c r="F15" s="296">
        <f>'3.sz.m Önk  bev.'!F15</f>
        <v>0</v>
      </c>
      <c r="G15" s="296">
        <f>'3.sz.m Önk  bev.'!G15</f>
        <v>0</v>
      </c>
      <c r="H15" s="296">
        <f>'3.sz.m Önk  bev.'!H15</f>
        <v>0</v>
      </c>
      <c r="I15" s="296">
        <f>'3.sz.m Önk  bev.'!I15</f>
        <v>0</v>
      </c>
      <c r="J15" s="296">
        <f>'3.sz.m Önk  bev.'!J15</f>
        <v>0</v>
      </c>
      <c r="K15" s="296">
        <f>'3.sz.m Önk  bev.'!K15</f>
        <v>0</v>
      </c>
      <c r="L15" s="760"/>
      <c r="M15" s="380">
        <f>'3.sz.m Önk  bev.'!M15</f>
        <v>0</v>
      </c>
      <c r="N15" s="296">
        <f>'3.sz.m Önk  bev.'!N15</f>
        <v>0</v>
      </c>
      <c r="O15" s="296">
        <f>'3.sz.m Önk  bev.'!O15</f>
        <v>0</v>
      </c>
      <c r="P15" s="296">
        <f>'3.sz.m Önk  bev.'!P15</f>
        <v>0</v>
      </c>
      <c r="Q15" s="296">
        <f>'3.sz.m Önk  bev.'!Q15</f>
        <v>0</v>
      </c>
      <c r="R15" s="296">
        <f>'3.sz.m Önk  bev.'!R15</f>
        <v>0</v>
      </c>
      <c r="S15" s="296">
        <f>'3.sz.m Önk  bev.'!S15</f>
        <v>0</v>
      </c>
      <c r="T15" s="760"/>
      <c r="U15" s="380">
        <v>0</v>
      </c>
      <c r="V15" s="296"/>
      <c r="W15" s="296"/>
      <c r="X15" s="296"/>
      <c r="Y15" s="296"/>
      <c r="Z15" s="296"/>
      <c r="AA15" s="296"/>
      <c r="AB15" s="760"/>
    </row>
    <row r="16" spans="1:28" ht="21.75" customHeight="1">
      <c r="A16" s="107"/>
      <c r="B16" s="103" t="s">
        <v>117</v>
      </c>
      <c r="C16" s="1311" t="s">
        <v>308</v>
      </c>
      <c r="D16" s="1311"/>
      <c r="E16" s="380">
        <f>'3.sz.m Önk  bev.'!E16</f>
        <v>12000000</v>
      </c>
      <c r="F16" s="296">
        <f>'3.sz.m Önk  bev.'!F16</f>
        <v>12000000</v>
      </c>
      <c r="G16" s="296">
        <f>'3.sz.m Önk  bev.'!G16</f>
        <v>12000000</v>
      </c>
      <c r="H16" s="296">
        <f>'3.sz.m Önk  bev.'!H16</f>
        <v>12000000</v>
      </c>
      <c r="I16" s="296">
        <f>'3.sz.m Önk  bev.'!I16</f>
        <v>12150681</v>
      </c>
      <c r="J16" s="296">
        <f>'3.sz.m Önk  bev.'!J16</f>
        <v>14312398</v>
      </c>
      <c r="K16" s="296">
        <f>'3.sz.m Önk  bev.'!K16</f>
        <v>13214801</v>
      </c>
      <c r="L16" s="761">
        <f t="shared" si="3"/>
        <v>0.9233114534685243</v>
      </c>
      <c r="M16" s="380">
        <f>'3.sz.m Önk  bev.'!M16</f>
        <v>12000000</v>
      </c>
      <c r="N16" s="296">
        <f>'3.sz.m Önk  bev.'!N16</f>
        <v>12000000</v>
      </c>
      <c r="O16" s="296">
        <f>'3.sz.m Önk  bev.'!O16</f>
        <v>12000000</v>
      </c>
      <c r="P16" s="296">
        <f>'3.sz.m Önk  bev.'!P16</f>
        <v>12000000</v>
      </c>
      <c r="Q16" s="296">
        <f>'3.sz.m Önk  bev.'!Q16</f>
        <v>12150681</v>
      </c>
      <c r="R16" s="296">
        <f>'3.sz.m Önk  bev.'!R16</f>
        <v>14312398</v>
      </c>
      <c r="S16" s="296">
        <f>'3.sz.m Önk  bev.'!S16</f>
        <v>13214801</v>
      </c>
      <c r="T16" s="761">
        <f t="shared" si="4"/>
        <v>1.1926998333333334</v>
      </c>
      <c r="U16" s="380">
        <v>0</v>
      </c>
      <c r="V16" s="296"/>
      <c r="W16" s="296"/>
      <c r="X16" s="296"/>
      <c r="Y16" s="296"/>
      <c r="Z16" s="296"/>
      <c r="AA16" s="296"/>
      <c r="AB16" s="761"/>
    </row>
    <row r="17" spans="1:28" ht="21.75" customHeight="1">
      <c r="A17" s="107"/>
      <c r="B17" s="103" t="s">
        <v>51</v>
      </c>
      <c r="C17" s="1312" t="s">
        <v>309</v>
      </c>
      <c r="D17" s="1313"/>
      <c r="E17" s="380">
        <f aca="true" t="shared" si="7" ref="E17:P17">SUM(E18:E19)</f>
        <v>800000</v>
      </c>
      <c r="F17" s="296">
        <f t="shared" si="7"/>
        <v>800000</v>
      </c>
      <c r="G17" s="296">
        <f t="shared" si="7"/>
        <v>1604633</v>
      </c>
      <c r="H17" s="296">
        <f>SUM(H18:H19)</f>
        <v>1766821</v>
      </c>
      <c r="I17" s="296">
        <f>SUM(I18:I19)</f>
        <v>3063808</v>
      </c>
      <c r="J17" s="296">
        <f>SUM(J18:J19)</f>
        <v>0</v>
      </c>
      <c r="K17" s="296">
        <f>SUM(K18:K19)</f>
        <v>0</v>
      </c>
      <c r="L17" s="761"/>
      <c r="M17" s="380">
        <f t="shared" si="7"/>
        <v>800000</v>
      </c>
      <c r="N17" s="296">
        <f t="shared" si="7"/>
        <v>800000</v>
      </c>
      <c r="O17" s="296">
        <f t="shared" si="7"/>
        <v>1604633</v>
      </c>
      <c r="P17" s="296">
        <f t="shared" si="7"/>
        <v>1766821</v>
      </c>
      <c r="Q17" s="296">
        <f>SUM(Q18:Q19)</f>
        <v>3063808</v>
      </c>
      <c r="R17" s="296">
        <f>SUM(R18:R19)</f>
        <v>0</v>
      </c>
      <c r="S17" s="296">
        <f>SUM(S18:S19)</f>
        <v>0</v>
      </c>
      <c r="T17" s="761">
        <f t="shared" si="4"/>
        <v>0</v>
      </c>
      <c r="U17" s="380">
        <v>0</v>
      </c>
      <c r="V17" s="296"/>
      <c r="W17" s="296"/>
      <c r="X17" s="296"/>
      <c r="Y17" s="296"/>
      <c r="Z17" s="296"/>
      <c r="AA17" s="296"/>
      <c r="AB17" s="761"/>
    </row>
    <row r="18" spans="1:28" ht="21.75" customHeight="1">
      <c r="A18" s="107"/>
      <c r="B18" s="103"/>
      <c r="C18" s="103" t="s">
        <v>310</v>
      </c>
      <c r="D18" s="575" t="s">
        <v>312</v>
      </c>
      <c r="E18" s="380">
        <f>'3.sz.m Önk  bev.'!E18</f>
        <v>0</v>
      </c>
      <c r="F18" s="296">
        <f>'3.sz.m Önk  bev.'!F18</f>
        <v>0</v>
      </c>
      <c r="G18" s="296">
        <f>'3.sz.m Önk  bev.'!G18</f>
        <v>0</v>
      </c>
      <c r="H18" s="296">
        <f>'3.sz.m Önk  bev.'!H18</f>
        <v>0</v>
      </c>
      <c r="I18" s="296">
        <f>'3.sz.m Önk  bev.'!I18</f>
        <v>0</v>
      </c>
      <c r="J18" s="296">
        <f>'3.sz.m Önk  bev.'!J18</f>
        <v>0</v>
      </c>
      <c r="K18" s="296">
        <f>'3.sz.m Önk  bev.'!K18</f>
        <v>0</v>
      </c>
      <c r="L18" s="761"/>
      <c r="M18" s="380">
        <f>'3.sz.m Önk  bev.'!M18</f>
        <v>0</v>
      </c>
      <c r="N18" s="296">
        <f>'3.sz.m Önk  bev.'!N18</f>
        <v>0</v>
      </c>
      <c r="O18" s="296">
        <f>'3.sz.m Önk  bev.'!O18</f>
        <v>0</v>
      </c>
      <c r="P18" s="296">
        <f>'3.sz.m Önk  bev.'!P18</f>
        <v>0</v>
      </c>
      <c r="Q18" s="296">
        <f>'3.sz.m Önk  bev.'!Q18</f>
        <v>0</v>
      </c>
      <c r="R18" s="296">
        <f>'3.sz.m Önk  bev.'!R18</f>
        <v>0</v>
      </c>
      <c r="S18" s="296">
        <f>'3.sz.m Önk  bev.'!S18</f>
        <v>0</v>
      </c>
      <c r="T18" s="761"/>
      <c r="U18" s="380">
        <v>0</v>
      </c>
      <c r="V18" s="296"/>
      <c r="W18" s="296"/>
      <c r="X18" s="296"/>
      <c r="Y18" s="296"/>
      <c r="Z18" s="296"/>
      <c r="AA18" s="296"/>
      <c r="AB18" s="761"/>
    </row>
    <row r="19" spans="1:28" ht="21.75" customHeight="1">
      <c r="A19" s="107"/>
      <c r="B19" s="103"/>
      <c r="C19" s="103" t="s">
        <v>311</v>
      </c>
      <c r="D19" s="575" t="s">
        <v>284</v>
      </c>
      <c r="E19" s="380">
        <f>'3.sz.m Önk  bev.'!E19</f>
        <v>800000</v>
      </c>
      <c r="F19" s="296">
        <f>'3.sz.m Önk  bev.'!F19</f>
        <v>800000</v>
      </c>
      <c r="G19" s="296">
        <f>'3.sz.m Önk  bev.'!G19</f>
        <v>1604633</v>
      </c>
      <c r="H19" s="296">
        <f>'3.sz.m Önk  bev.'!H19</f>
        <v>1766821</v>
      </c>
      <c r="I19" s="296">
        <f>'3.sz.m Önk  bev.'!I19</f>
        <v>3063808</v>
      </c>
      <c r="J19" s="296">
        <f>'3.sz.m Önk  bev.'!J19</f>
        <v>0</v>
      </c>
      <c r="K19" s="296">
        <f>'3.sz.m Önk  bev.'!K19</f>
        <v>0</v>
      </c>
      <c r="L19" s="761"/>
      <c r="M19" s="380">
        <f>'3.sz.m Önk  bev.'!M19</f>
        <v>800000</v>
      </c>
      <c r="N19" s="296">
        <f>'3.sz.m Önk  bev.'!N19</f>
        <v>800000</v>
      </c>
      <c r="O19" s="296">
        <f>'3.sz.m Önk  bev.'!O19</f>
        <v>1604633</v>
      </c>
      <c r="P19" s="296">
        <f>'3.sz.m Önk  bev.'!P19</f>
        <v>1766821</v>
      </c>
      <c r="Q19" s="296">
        <f>'3.sz.m Önk  bev.'!Q19</f>
        <v>3063808</v>
      </c>
      <c r="R19" s="296">
        <f>'3.sz.m Önk  bev.'!R19</f>
        <v>0</v>
      </c>
      <c r="S19" s="296">
        <f>'3.sz.m Önk  bev.'!S19</f>
        <v>0</v>
      </c>
      <c r="T19" s="761">
        <f t="shared" si="4"/>
        <v>0</v>
      </c>
      <c r="U19" s="380">
        <v>0</v>
      </c>
      <c r="V19" s="296"/>
      <c r="W19" s="296"/>
      <c r="X19" s="296"/>
      <c r="Y19" s="296"/>
      <c r="Z19" s="296"/>
      <c r="AA19" s="296"/>
      <c r="AB19" s="761"/>
    </row>
    <row r="20" spans="1:28" ht="21.75" customHeight="1" thickBot="1">
      <c r="A20" s="467"/>
      <c r="B20" s="631" t="s">
        <v>52</v>
      </c>
      <c r="C20" s="1314" t="s">
        <v>313</v>
      </c>
      <c r="D20" s="1315"/>
      <c r="E20" s="380">
        <f>'3.sz.m Önk  bev.'!E20</f>
        <v>560000</v>
      </c>
      <c r="F20" s="296">
        <f>'3.sz.m Önk  bev.'!F20</f>
        <v>560000</v>
      </c>
      <c r="G20" s="296">
        <f>'3.sz.m Önk  bev.'!G20</f>
        <v>560020</v>
      </c>
      <c r="H20" s="296">
        <f>'3.sz.m Önk  bev.'!H20</f>
        <v>560020</v>
      </c>
      <c r="I20" s="296">
        <f>'3.sz.m Önk  bev.'!I20</f>
        <v>560020</v>
      </c>
      <c r="J20" s="296">
        <f>'3.sz.m Önk  bev.'!J20</f>
        <v>3862991</v>
      </c>
      <c r="K20" s="296">
        <f>'3.sz.m Önk  bev.'!K20</f>
        <v>2217020</v>
      </c>
      <c r="L20" s="762">
        <f t="shared" si="3"/>
        <v>0.57391280487063</v>
      </c>
      <c r="M20" s="380">
        <f>'3.sz.m Önk  bev.'!M20</f>
        <v>560000</v>
      </c>
      <c r="N20" s="296">
        <f>'3.sz.m Önk  bev.'!N20</f>
        <v>560000</v>
      </c>
      <c r="O20" s="296">
        <f>'3.sz.m Önk  bev.'!O20</f>
        <v>560020</v>
      </c>
      <c r="P20" s="296">
        <f>'3.sz.m Önk  bev.'!P20</f>
        <v>560020</v>
      </c>
      <c r="Q20" s="296">
        <f>'3.sz.m Önk  bev.'!Q20</f>
        <v>560020</v>
      </c>
      <c r="R20" s="296">
        <f>'3.sz.m Önk  bev.'!R20</f>
        <v>3862991</v>
      </c>
      <c r="S20" s="296">
        <f>'3.sz.m Önk  bev.'!S20</f>
        <v>2217020</v>
      </c>
      <c r="T20" s="762">
        <f t="shared" si="4"/>
        <v>6.897951858862183</v>
      </c>
      <c r="U20" s="380">
        <v>0</v>
      </c>
      <c r="V20" s="296"/>
      <c r="W20" s="296"/>
      <c r="X20" s="296"/>
      <c r="Y20" s="296"/>
      <c r="Z20" s="296"/>
      <c r="AA20" s="296"/>
      <c r="AB20" s="762"/>
    </row>
    <row r="21" spans="1:28" ht="21.75" customHeight="1" thickBot="1">
      <c r="A21" s="110" t="s">
        <v>314</v>
      </c>
      <c r="B21" s="1300" t="s">
        <v>315</v>
      </c>
      <c r="C21" s="1300"/>
      <c r="D21" s="1300"/>
      <c r="E21" s="378">
        <f>E22+E23+E25+E29+E30+E31+E32</f>
        <v>50088918</v>
      </c>
      <c r="F21" s="294">
        <f>F22+F23+F25+F29+F30+F31+F32</f>
        <v>50088918</v>
      </c>
      <c r="G21" s="294">
        <f>G22+G23+G25+G29+G30+G31+G32+G24</f>
        <v>51846426</v>
      </c>
      <c r="H21" s="294">
        <f>H22+H23+H25+H29+H30+H31+H32+H24</f>
        <v>52805334</v>
      </c>
      <c r="I21" s="294">
        <f>I22+I23+I25+I29+I30+I31+I32+I24</f>
        <v>53489116</v>
      </c>
      <c r="J21" s="294">
        <f>J22+J23+J25+J29+J30+J31+J32+J24</f>
        <v>60456499</v>
      </c>
      <c r="K21" s="294">
        <f>K22+K23+K25+K29+K30+K31+K32+K24</f>
        <v>58577285</v>
      </c>
      <c r="L21" s="758">
        <f t="shared" si="3"/>
        <v>0.9689162615916611</v>
      </c>
      <c r="M21" s="378">
        <f>M22+M23+M25+M29+M30+M31+M32</f>
        <v>50088918</v>
      </c>
      <c r="N21" s="294">
        <f>N22+N23+N25+N29+N30+N31+N32</f>
        <v>50088918</v>
      </c>
      <c r="O21" s="294">
        <f>O22+O23+O25+O29+O30+O31+O32+O24</f>
        <v>51846426</v>
      </c>
      <c r="P21" s="294">
        <f>P22+P23+P25+P29+P30+P31+P32</f>
        <v>52805334</v>
      </c>
      <c r="Q21" s="294">
        <f>Q22+Q23+Q25+Q29+Q30+Q31+Q32</f>
        <v>53489116</v>
      </c>
      <c r="R21" s="294">
        <f>R22+R23+R25+R29+R30+R31+R32</f>
        <v>60456499</v>
      </c>
      <c r="S21" s="294">
        <f>S22+S23+S25+S29+S30+S31+S32</f>
        <v>58577285</v>
      </c>
      <c r="T21" s="758">
        <f t="shared" si="4"/>
        <v>1.1448937904644254</v>
      </c>
      <c r="U21" s="378">
        <f aca="true" t="shared" si="8" ref="U21:Z21">U22+U23+U25+U29+U30+U31+U32</f>
        <v>0</v>
      </c>
      <c r="V21" s="294">
        <f t="shared" si="8"/>
        <v>0</v>
      </c>
      <c r="W21" s="294">
        <f t="shared" si="8"/>
        <v>0</v>
      </c>
      <c r="X21" s="294">
        <f t="shared" si="8"/>
        <v>0</v>
      </c>
      <c r="Y21" s="294">
        <f t="shared" si="8"/>
        <v>0</v>
      </c>
      <c r="Z21" s="294">
        <f t="shared" si="8"/>
        <v>0</v>
      </c>
      <c r="AA21" s="294">
        <f>AA22+AA23+AA25+AA29+AA30+AA31+AA32</f>
        <v>0</v>
      </c>
      <c r="AB21" s="758"/>
    </row>
    <row r="22" spans="1:28" ht="21.75" customHeight="1">
      <c r="A22" s="108"/>
      <c r="B22" s="109" t="s">
        <v>41</v>
      </c>
      <c r="C22" s="1308" t="s">
        <v>316</v>
      </c>
      <c r="D22" s="1308"/>
      <c r="E22" s="379">
        <f>'3.sz.m Önk  bev.'!E22+'5.2 sz. m ÁMK'!D9</f>
        <v>32941000</v>
      </c>
      <c r="F22" s="295">
        <f>'3.sz.m Önk  bev.'!F22+'5.2 sz. m ÁMK'!E9</f>
        <v>32941000</v>
      </c>
      <c r="G22" s="295">
        <f>'3.sz.m Önk  bev.'!G22+'5.1 sz. m Köz Hiv'!F10+'5.2 sz. m ÁMK'!F10</f>
        <v>9892100</v>
      </c>
      <c r="H22" s="295">
        <f>'3.sz.m Önk  bev.'!H22+'5.1 sz. m Köz Hiv'!G10+'5.2 sz. m ÁMK'!G10</f>
        <v>15338585</v>
      </c>
      <c r="I22" s="295">
        <f>'3.sz.m Önk  bev.'!I22+'5.1 sz. m Köz Hiv'!H10+'5.2 sz. m ÁMK'!H10</f>
        <v>15422185</v>
      </c>
      <c r="J22" s="295">
        <f>'3.sz.m Önk  bev.'!J22+'5.1 sz. m Köz Hiv'!I10+'5.2 sz. m ÁMK'!I10</f>
        <v>18957823</v>
      </c>
      <c r="K22" s="295">
        <f>'3.sz.m Önk  bev.'!K22+'5.1 sz. m Köz Hiv'!J10+'5.2 sz. m ÁMK'!J10</f>
        <v>18777963</v>
      </c>
      <c r="L22" s="763">
        <f t="shared" si="3"/>
        <v>0.9905126237332208</v>
      </c>
      <c r="M22" s="379">
        <f>'3.sz.m Önk  bev.'!M22+'5.2 sz. m ÁMK'!L9</f>
        <v>32941000</v>
      </c>
      <c r="N22" s="295">
        <f>'3.sz.m Önk  bev.'!N22+'5.2 sz. m ÁMK'!M9</f>
        <v>32941000</v>
      </c>
      <c r="O22" s="952">
        <f>'3.sz.m Önk  bev.'!O22+'5.1 sz. m Köz Hiv'!N10+'5.2 sz. m ÁMK'!N10</f>
        <v>9892100</v>
      </c>
      <c r="P22" s="295">
        <f>'3.sz.m Önk  bev.'!P22+'5.2 sz. m ÁMK'!O9+'5.1 sz. m Köz Hiv'!O9</f>
        <v>34057746</v>
      </c>
      <c r="Q22" s="295">
        <f>'3.sz.m Önk  bev.'!Q22+'5.2 sz. m ÁMK'!P9+'5.1 sz. m Köz Hiv'!P9</f>
        <v>34144946</v>
      </c>
      <c r="R22" s="295">
        <f>'3.sz.m Önk  bev.'!R22+'5.2 sz. m ÁMK'!Q9+'5.1 sz. m Köz Hiv'!Q9</f>
        <v>41232899</v>
      </c>
      <c r="S22" s="295">
        <f>'3.sz.m Önk  bev.'!S22+'5.2 sz. m ÁMK'!R9+'5.1 sz. m Köz Hiv'!R9</f>
        <v>40981765</v>
      </c>
      <c r="T22" s="763">
        <f t="shared" si="4"/>
        <v>1.2106760970030137</v>
      </c>
      <c r="U22" s="379">
        <v>0</v>
      </c>
      <c r="V22" s="295"/>
      <c r="W22" s="295"/>
      <c r="X22" s="295"/>
      <c r="Y22" s="295"/>
      <c r="Z22" s="295"/>
      <c r="AA22" s="295"/>
      <c r="AB22" s="763"/>
    </row>
    <row r="23" spans="1:28" ht="21.75" customHeight="1">
      <c r="A23" s="107"/>
      <c r="B23" s="103" t="s">
        <v>42</v>
      </c>
      <c r="C23" s="1296" t="s">
        <v>317</v>
      </c>
      <c r="D23" s="1296"/>
      <c r="E23" s="382">
        <f>'3.sz.m Önk  bev.'!E23</f>
        <v>5783000</v>
      </c>
      <c r="F23" s="297">
        <f>'3.sz.m Önk  bev.'!F23</f>
        <v>5783000</v>
      </c>
      <c r="G23" s="295">
        <f>'3.sz.m Önk  bev.'!G23+'5.2 sz. m ÁMK'!F11</f>
        <v>11431017</v>
      </c>
      <c r="H23" s="295">
        <f>'3.sz.m Önk  bev.'!H23+'5.2 sz. m ÁMK'!G11</f>
        <v>11431017</v>
      </c>
      <c r="I23" s="295">
        <f>'3.sz.m Önk  bev.'!I23+'5.2 sz. m ÁMK'!H11+'5.1 sz. m Köz Hiv'!H11</f>
        <v>11431017</v>
      </c>
      <c r="J23" s="295">
        <f>'3.sz.m Önk  bev.'!J23+'5.2 sz. m ÁMK'!I11+'5.1 sz. m Köz Hiv'!I11</f>
        <v>9320756</v>
      </c>
      <c r="K23" s="295">
        <f>'3.sz.m Önk  bev.'!K23+'5.2 sz. m ÁMK'!J11+'5.1 sz. m Köz Hiv'!J11</f>
        <v>8959168</v>
      </c>
      <c r="L23" s="748">
        <f t="shared" si="3"/>
        <v>0.9612061510890318</v>
      </c>
      <c r="M23" s="382">
        <f>'3.sz.m Önk  bev.'!M23</f>
        <v>5783000</v>
      </c>
      <c r="N23" s="297">
        <f>'3.sz.m Önk  bev.'!N23</f>
        <v>5783000</v>
      </c>
      <c r="O23" s="297">
        <f>'3.sz.m Önk  bev.'!O23+'5.2 sz. m ÁMK'!N11</f>
        <v>11431017</v>
      </c>
      <c r="P23" s="297">
        <f>'3.sz.m Önk  bev.'!P23</f>
        <v>5783000</v>
      </c>
      <c r="Q23" s="297">
        <f>'3.sz.m Önk  bev.'!Q23</f>
        <v>5783000</v>
      </c>
      <c r="R23" s="297">
        <f>'3.sz.m Önk  bev.'!R23</f>
        <v>3529945</v>
      </c>
      <c r="S23" s="297">
        <f>'3.sz.m Önk  bev.'!S23</f>
        <v>3168357</v>
      </c>
      <c r="T23" s="748">
        <f t="shared" si="4"/>
        <v>0.610400311257133</v>
      </c>
      <c r="U23" s="382">
        <v>0</v>
      </c>
      <c r="V23" s="297"/>
      <c r="W23" s="297"/>
      <c r="X23" s="297"/>
      <c r="Y23" s="297"/>
      <c r="Z23" s="297"/>
      <c r="AA23" s="297"/>
      <c r="AB23" s="748"/>
    </row>
    <row r="24" spans="1:28" ht="21.75" customHeight="1">
      <c r="A24" s="107"/>
      <c r="B24" s="103" t="s">
        <v>560</v>
      </c>
      <c r="C24" s="1296" t="s">
        <v>556</v>
      </c>
      <c r="D24" s="1297"/>
      <c r="E24" s="382"/>
      <c r="F24" s="297"/>
      <c r="G24" s="295">
        <f>'5.2 sz. m ÁMK'!F13</f>
        <v>10073000</v>
      </c>
      <c r="H24" s="295">
        <f>'5.2 sz. m ÁMK'!G13</f>
        <v>4814000</v>
      </c>
      <c r="I24" s="295">
        <f>'5.2 sz. m ÁMK'!H13</f>
        <v>4814000</v>
      </c>
      <c r="J24" s="295">
        <f>'5.2 sz. m ÁMK'!I13</f>
        <v>4869000</v>
      </c>
      <c r="K24" s="295">
        <f>'5.2 sz. m ÁMK'!J13</f>
        <v>4849577</v>
      </c>
      <c r="L24" s="748">
        <f t="shared" si="3"/>
        <v>0.9960108851920312</v>
      </c>
      <c r="M24" s="382"/>
      <c r="N24" s="297"/>
      <c r="O24" s="297">
        <f>'5.2 sz. m ÁMK'!F13</f>
        <v>10073000</v>
      </c>
      <c r="P24" s="297"/>
      <c r="Q24" s="297"/>
      <c r="R24" s="297"/>
      <c r="S24" s="297"/>
      <c r="T24" s="748"/>
      <c r="U24" s="382"/>
      <c r="V24" s="297"/>
      <c r="W24" s="297"/>
      <c r="X24" s="297"/>
      <c r="Y24" s="297"/>
      <c r="Z24" s="297"/>
      <c r="AA24" s="297"/>
      <c r="AB24" s="748"/>
    </row>
    <row r="25" spans="1:28" ht="21.75" customHeight="1">
      <c r="A25" s="107"/>
      <c r="B25" s="103" t="s">
        <v>285</v>
      </c>
      <c r="C25" s="1296" t="s">
        <v>318</v>
      </c>
      <c r="D25" s="1296"/>
      <c r="E25" s="382">
        <f aca="true" t="shared" si="9" ref="E25:P25">SUM(E26:E28)</f>
        <v>9403508</v>
      </c>
      <c r="F25" s="297">
        <f t="shared" si="9"/>
        <v>9403508</v>
      </c>
      <c r="G25" s="297">
        <f t="shared" si="9"/>
        <v>11391016</v>
      </c>
      <c r="H25" s="297">
        <f>SUM(H26:H28)</f>
        <v>11924870</v>
      </c>
      <c r="I25" s="297">
        <f>SUM(I26:I28)</f>
        <v>11924870</v>
      </c>
      <c r="J25" s="297">
        <f>SUM(J26:J28)</f>
        <v>12761294</v>
      </c>
      <c r="K25" s="297">
        <f>SUM(K26:K28)</f>
        <v>12508269</v>
      </c>
      <c r="L25" s="748">
        <f t="shared" si="3"/>
        <v>0.9801724652688042</v>
      </c>
      <c r="M25" s="382">
        <f t="shared" si="9"/>
        <v>9403508</v>
      </c>
      <c r="N25" s="297">
        <f t="shared" si="9"/>
        <v>9403508</v>
      </c>
      <c r="O25" s="297">
        <f t="shared" si="9"/>
        <v>11391016</v>
      </c>
      <c r="P25" s="297">
        <f t="shared" si="9"/>
        <v>10404870</v>
      </c>
      <c r="Q25" s="297">
        <f>SUM(Q26:Q28)</f>
        <v>10404870</v>
      </c>
      <c r="R25" s="297">
        <f>SUM(R26:R28)</f>
        <v>11215819</v>
      </c>
      <c r="S25" s="297">
        <f>SUM(S26:S28)</f>
        <v>11014619</v>
      </c>
      <c r="T25" s="748">
        <f t="shared" si="4"/>
        <v>1.0779393687763519</v>
      </c>
      <c r="U25" s="382">
        <v>0</v>
      </c>
      <c r="V25" s="297"/>
      <c r="W25" s="297">
        <f>SUM(W26:W28)</f>
        <v>0</v>
      </c>
      <c r="X25" s="297">
        <f>SUM(X26:X28)</f>
        <v>0</v>
      </c>
      <c r="Y25" s="297">
        <f>SUM(Y26:Y28)</f>
        <v>0</v>
      </c>
      <c r="Z25" s="297">
        <f>SUM(Z26:Z28)</f>
        <v>0</v>
      </c>
      <c r="AA25" s="297">
        <f>SUM(AA26:AA28)</f>
        <v>0</v>
      </c>
      <c r="AB25" s="748"/>
    </row>
    <row r="26" spans="1:28" ht="31.5" customHeight="1">
      <c r="A26" s="107"/>
      <c r="B26" s="103"/>
      <c r="C26" s="103" t="s">
        <v>561</v>
      </c>
      <c r="D26" s="342" t="s">
        <v>319</v>
      </c>
      <c r="E26" s="382">
        <f>'3.sz.m Önk  bev.'!E25</f>
        <v>9403508</v>
      </c>
      <c r="F26" s="297">
        <f>'3.sz.m Önk  bev.'!F25</f>
        <v>9403508</v>
      </c>
      <c r="G26" s="297">
        <f>'3.sz.m Önk  bev.'!G25+'5.2 sz. m ÁMK'!F12</f>
        <v>11000658</v>
      </c>
      <c r="H26" s="297">
        <f>'3.sz.m Önk  bev.'!H25+'5.2 sz. m ÁMK'!G12</f>
        <v>11534512</v>
      </c>
      <c r="I26" s="297">
        <f>'3.sz.m Önk  bev.'!I25+'5.2 sz. m ÁMK'!H12</f>
        <v>11534512</v>
      </c>
      <c r="J26" s="297">
        <f>'3.sz.m Önk  bev.'!J25+'5.2 sz. m ÁMK'!I12</f>
        <v>11984932</v>
      </c>
      <c r="K26" s="297">
        <f>'3.sz.m Önk  bev.'!K25+'5.2 sz. m ÁMK'!J12</f>
        <v>11731907</v>
      </c>
      <c r="L26" s="748">
        <f t="shared" si="3"/>
        <v>0.9788880737913239</v>
      </c>
      <c r="M26" s="382">
        <f>'3.sz.m Önk  bev.'!M25</f>
        <v>9403508</v>
      </c>
      <c r="N26" s="297">
        <f>'3.sz.m Önk  bev.'!N25</f>
        <v>9403508</v>
      </c>
      <c r="O26" s="297">
        <f>'3.sz.m Önk  bev.'!O25+'5.2 sz. m ÁMK'!N12</f>
        <v>11000658</v>
      </c>
      <c r="P26" s="297">
        <f>'3.sz.m Önk  bev.'!P25</f>
        <v>10014512</v>
      </c>
      <c r="Q26" s="297">
        <f>'3.sz.m Önk  bev.'!Q25</f>
        <v>10014512</v>
      </c>
      <c r="R26" s="297">
        <f>'3.sz.m Önk  bev.'!R25</f>
        <v>10439457</v>
      </c>
      <c r="S26" s="297">
        <f>'3.sz.m Önk  bev.'!S25</f>
        <v>10238257</v>
      </c>
      <c r="T26" s="748">
        <f t="shared" si="4"/>
        <v>1.042432921344545</v>
      </c>
      <c r="U26" s="382">
        <v>0</v>
      </c>
      <c r="V26" s="297"/>
      <c r="W26" s="297">
        <f>'3.sz.m Önk  bev.'!W25</f>
        <v>0</v>
      </c>
      <c r="X26" s="297">
        <f>'3.sz.m Önk  bev.'!X25</f>
        <v>0</v>
      </c>
      <c r="Y26" s="297">
        <f>'3.sz.m Önk  bev.'!Y25</f>
        <v>0</v>
      </c>
      <c r="Z26" s="297">
        <f>'3.sz.m Önk  bev.'!Z25</f>
        <v>0</v>
      </c>
      <c r="AA26" s="297">
        <f>'3.sz.m Önk  bev.'!AA25</f>
        <v>0</v>
      </c>
      <c r="AB26" s="748"/>
    </row>
    <row r="27" spans="1:28" ht="41.25" customHeight="1">
      <c r="A27" s="107"/>
      <c r="B27" s="103"/>
      <c r="C27" s="103" t="s">
        <v>562</v>
      </c>
      <c r="D27" s="342" t="s">
        <v>320</v>
      </c>
      <c r="E27" s="382">
        <f>'3.sz.m Önk  bev.'!E26</f>
        <v>0</v>
      </c>
      <c r="F27" s="297">
        <f>'3.sz.m Önk  bev.'!F26</f>
        <v>0</v>
      </c>
      <c r="G27" s="297">
        <f>'3.sz.m Önk  bev.'!G26</f>
        <v>390358</v>
      </c>
      <c r="H27" s="297">
        <f>'3.sz.m Önk  bev.'!H26</f>
        <v>390358</v>
      </c>
      <c r="I27" s="297">
        <f>'3.sz.m Önk  bev.'!I26</f>
        <v>390358</v>
      </c>
      <c r="J27" s="297">
        <f>'3.sz.m Önk  bev.'!J26</f>
        <v>390358</v>
      </c>
      <c r="K27" s="297">
        <f>'3.sz.m Önk  bev.'!K26</f>
        <v>390358</v>
      </c>
      <c r="L27" s="748">
        <f t="shared" si="3"/>
        <v>1</v>
      </c>
      <c r="M27" s="382">
        <f>'3.sz.m Önk  bev.'!M26</f>
        <v>0</v>
      </c>
      <c r="N27" s="297">
        <f>'3.sz.m Önk  bev.'!N26</f>
        <v>0</v>
      </c>
      <c r="O27" s="297">
        <f>'3.sz.m Önk  bev.'!O26</f>
        <v>390358</v>
      </c>
      <c r="P27" s="297">
        <f>'3.sz.m Önk  bev.'!P26</f>
        <v>390358</v>
      </c>
      <c r="Q27" s="297">
        <f>'3.sz.m Önk  bev.'!Q26</f>
        <v>390358</v>
      </c>
      <c r="R27" s="297">
        <f>'3.sz.m Önk  bev.'!R26</f>
        <v>390358</v>
      </c>
      <c r="S27" s="297">
        <f>'3.sz.m Önk  bev.'!S26</f>
        <v>390358</v>
      </c>
      <c r="T27" s="748">
        <f t="shared" si="4"/>
        <v>1</v>
      </c>
      <c r="U27" s="382">
        <v>0</v>
      </c>
      <c r="V27" s="297"/>
      <c r="W27" s="297"/>
      <c r="X27" s="297"/>
      <c r="Y27" s="297"/>
      <c r="Z27" s="297"/>
      <c r="AA27" s="297"/>
      <c r="AB27" s="748"/>
    </row>
    <row r="28" spans="1:28" ht="21.75" customHeight="1">
      <c r="A28" s="107"/>
      <c r="B28" s="103"/>
      <c r="C28" s="103" t="s">
        <v>563</v>
      </c>
      <c r="D28" s="342" t="s">
        <v>587</v>
      </c>
      <c r="E28" s="382">
        <f>'3.sz.m Önk  bev.'!E27</f>
        <v>0</v>
      </c>
      <c r="F28" s="297">
        <f>'3.sz.m Önk  bev.'!F27</f>
        <v>0</v>
      </c>
      <c r="G28" s="297">
        <f>'3.sz.m Önk  bev.'!G27</f>
        <v>0</v>
      </c>
      <c r="H28" s="297">
        <f>'3.sz.m Önk  bev.'!H27</f>
        <v>0</v>
      </c>
      <c r="I28" s="297">
        <f>'3.sz.m Önk  bev.'!I27</f>
        <v>0</v>
      </c>
      <c r="J28" s="297">
        <f>'3.sz.m Önk  bev.'!J27</f>
        <v>386004</v>
      </c>
      <c r="K28" s="297">
        <f>'3.sz.m Önk  bev.'!K27</f>
        <v>386004</v>
      </c>
      <c r="L28" s="748">
        <f t="shared" si="3"/>
        <v>1</v>
      </c>
      <c r="M28" s="382">
        <f>'3.sz.m Önk  bev.'!M27</f>
        <v>0</v>
      </c>
      <c r="N28" s="297">
        <f>'3.sz.m Önk  bev.'!N27</f>
        <v>0</v>
      </c>
      <c r="O28" s="297">
        <f>'3.sz.m Önk  bev.'!O27</f>
        <v>0</v>
      </c>
      <c r="P28" s="297">
        <f>'3.sz.m Önk  bev.'!P27</f>
        <v>0</v>
      </c>
      <c r="Q28" s="297">
        <f>'3.sz.m Önk  bev.'!Q27</f>
        <v>0</v>
      </c>
      <c r="R28" s="297">
        <f>'3.sz.m Önk  bev.'!R27</f>
        <v>386004</v>
      </c>
      <c r="S28" s="297">
        <f>'3.sz.m Önk  bev.'!S27</f>
        <v>386004</v>
      </c>
      <c r="T28" s="748"/>
      <c r="U28" s="382">
        <v>0</v>
      </c>
      <c r="V28" s="297"/>
      <c r="W28" s="297"/>
      <c r="X28" s="297"/>
      <c r="Y28" s="297"/>
      <c r="Z28" s="297"/>
      <c r="AA28" s="297"/>
      <c r="AB28" s="748"/>
    </row>
    <row r="29" spans="1:28" ht="21.75" customHeight="1">
      <c r="A29" s="107"/>
      <c r="B29" s="103" t="s">
        <v>322</v>
      </c>
      <c r="C29" s="1296" t="s">
        <v>321</v>
      </c>
      <c r="D29" s="1296"/>
      <c r="E29" s="382">
        <f>'3.sz.m Önk  bev.'!E28</f>
        <v>1561410</v>
      </c>
      <c r="F29" s="297">
        <f>'3.sz.m Önk  bev.'!F28</f>
        <v>1561410</v>
      </c>
      <c r="G29" s="297">
        <f>'3.sz.m Önk  bev.'!G28+'5.2 sz. m ÁMK'!F14</f>
        <v>8251415</v>
      </c>
      <c r="H29" s="297">
        <f>'3.sz.m Önk  bev.'!H28+'5.2 sz. m ÁMK'!G14</f>
        <v>8251415</v>
      </c>
      <c r="I29" s="297">
        <f>'3.sz.m Önk  bev.'!I28+'5.2 sz. m ÁMK'!H14</f>
        <v>8273987</v>
      </c>
      <c r="J29" s="297">
        <f>'3.sz.m Önk  bev.'!J28+'5.2 sz. m ÁMK'!I14</f>
        <v>9344023</v>
      </c>
      <c r="K29" s="297">
        <f>'3.sz.m Önk  bev.'!K28+'5.2 sz. m ÁMK'!J14</f>
        <v>8792036</v>
      </c>
      <c r="L29" s="748">
        <f t="shared" si="3"/>
        <v>0.9409261942099244</v>
      </c>
      <c r="M29" s="382">
        <f>'3.sz.m Önk  bev.'!M28</f>
        <v>1561410</v>
      </c>
      <c r="N29" s="297">
        <f>'3.sz.m Önk  bev.'!N28</f>
        <v>1561410</v>
      </c>
      <c r="O29" s="297">
        <f>'3.sz.m Önk  bev.'!O28+'5.2 sz. m ÁMK'!N14</f>
        <v>8251415</v>
      </c>
      <c r="P29" s="297">
        <f>'3.sz.m Önk  bev.'!P28</f>
        <v>1610415</v>
      </c>
      <c r="Q29" s="297">
        <f>'3.sz.m Önk  bev.'!Q28</f>
        <v>1632987</v>
      </c>
      <c r="R29" s="297">
        <f>'3.sz.m Önk  bev.'!R28</f>
        <v>1632987</v>
      </c>
      <c r="S29" s="297">
        <f>'3.sz.m Önk  bev.'!S28</f>
        <v>1081000</v>
      </c>
      <c r="T29" s="748">
        <f t="shared" si="4"/>
        <v>1.0140162628887586</v>
      </c>
      <c r="U29" s="382">
        <v>0</v>
      </c>
      <c r="V29" s="297"/>
      <c r="W29" s="297"/>
      <c r="X29" s="297"/>
      <c r="Y29" s="297"/>
      <c r="Z29" s="297"/>
      <c r="AA29" s="297"/>
      <c r="AB29" s="748"/>
    </row>
    <row r="30" spans="1:28" ht="21.75" customHeight="1" hidden="1">
      <c r="A30" s="111"/>
      <c r="B30" s="112" t="s">
        <v>324</v>
      </c>
      <c r="C30" s="1296" t="s">
        <v>323</v>
      </c>
      <c r="D30" s="1297"/>
      <c r="E30" s="382">
        <f>'3.sz.m Önk  bev.'!E29</f>
        <v>0</v>
      </c>
      <c r="F30" s="297">
        <f>'3.sz.m Önk  bev.'!F29</f>
        <v>0</v>
      </c>
      <c r="G30" s="297">
        <f>'3.sz.m Önk  bev.'!G29</f>
        <v>0</v>
      </c>
      <c r="H30" s="297">
        <f>'3.sz.m Önk  bev.'!H29</f>
        <v>0</v>
      </c>
      <c r="I30" s="297">
        <f>'3.sz.m Önk  bev.'!I29</f>
        <v>0</v>
      </c>
      <c r="J30" s="297">
        <f>'3.sz.m Önk  bev.'!J29</f>
        <v>0</v>
      </c>
      <c r="K30" s="297">
        <f>'3.sz.m Önk  bev.'!K29</f>
        <v>0</v>
      </c>
      <c r="L30" s="748" t="e">
        <f t="shared" si="3"/>
        <v>#DIV/0!</v>
      </c>
      <c r="M30" s="382">
        <f>'3.sz.m Önk  bev.'!M29</f>
        <v>0</v>
      </c>
      <c r="N30" s="297">
        <f>'3.sz.m Önk  bev.'!N29</f>
        <v>0</v>
      </c>
      <c r="O30" s="297">
        <f>'3.sz.m Önk  bev.'!O29</f>
        <v>0</v>
      </c>
      <c r="P30" s="297">
        <f>'3.sz.m Önk  bev.'!P29</f>
        <v>0</v>
      </c>
      <c r="Q30" s="297">
        <f>'3.sz.m Önk  bev.'!Q29</f>
        <v>0</v>
      </c>
      <c r="R30" s="297">
        <f>'3.sz.m Önk  bev.'!R29</f>
        <v>0</v>
      </c>
      <c r="S30" s="297">
        <f>'3.sz.m Önk  bev.'!S29</f>
        <v>0</v>
      </c>
      <c r="T30" s="748"/>
      <c r="U30" s="382">
        <v>0</v>
      </c>
      <c r="V30" s="297"/>
      <c r="W30" s="297"/>
      <c r="X30" s="297"/>
      <c r="Y30" s="297"/>
      <c r="Z30" s="297"/>
      <c r="AA30" s="297"/>
      <c r="AB30" s="748"/>
    </row>
    <row r="31" spans="1:28" ht="21.75" customHeight="1">
      <c r="A31" s="111"/>
      <c r="B31" s="112" t="s">
        <v>324</v>
      </c>
      <c r="C31" s="1296" t="s">
        <v>325</v>
      </c>
      <c r="D31" s="1297"/>
      <c r="E31" s="382">
        <f>'3.sz.m Önk  bev.'!E30</f>
        <v>400000</v>
      </c>
      <c r="F31" s="297">
        <f>'3.sz.m Önk  bev.'!F30</f>
        <v>400000</v>
      </c>
      <c r="G31" s="297">
        <f>'3.sz.m Önk  bev.'!G30+'5.1 sz. m Köz Hiv'!F12+'5.2 sz. m ÁMK'!F15</f>
        <v>401500</v>
      </c>
      <c r="H31" s="297">
        <f>'3.sz.m Önk  bev.'!H30+'5.1 sz. m Köz Hiv'!G12+'5.2 sz. m ÁMK'!G15</f>
        <v>402700</v>
      </c>
      <c r="I31" s="297">
        <f>'3.sz.m Önk  bev.'!I30+'5.1 sz. m Köz Hiv'!H12+'5.2 sz. m ÁMK'!H15</f>
        <v>402700</v>
      </c>
      <c r="J31" s="297">
        <f>'3.sz.m Önk  bev.'!J30+'5.1 sz. m Köz Hiv'!I12+'5.2 sz. m ÁMK'!I15</f>
        <v>403173</v>
      </c>
      <c r="K31" s="297">
        <f>'3.sz.m Önk  bev.'!K30+'5.1 sz. m Köz Hiv'!J12+'5.2 sz. m ÁMK'!J15</f>
        <v>124268</v>
      </c>
      <c r="L31" s="748">
        <f t="shared" si="3"/>
        <v>0.308225005146674</v>
      </c>
      <c r="M31" s="382">
        <f>'3.sz.m Önk  bev.'!M30</f>
        <v>400000</v>
      </c>
      <c r="N31" s="297">
        <f>'3.sz.m Önk  bev.'!N30</f>
        <v>400000</v>
      </c>
      <c r="O31" s="297">
        <f>'3.sz.m Önk  bev.'!O30+'5.1 sz. m Köz Hiv'!N12+'5.2 sz. m ÁMK'!N15</f>
        <v>401500</v>
      </c>
      <c r="P31" s="297">
        <f>'3.sz.m Önk  bev.'!P30</f>
        <v>400000</v>
      </c>
      <c r="Q31" s="297">
        <f>'3.sz.m Önk  bev.'!Q30</f>
        <v>400000</v>
      </c>
      <c r="R31" s="297">
        <f>'3.sz.m Önk  bev.'!R30</f>
        <v>400000</v>
      </c>
      <c r="S31" s="297">
        <f>'3.sz.m Önk  bev.'!S30</f>
        <v>121095</v>
      </c>
      <c r="T31" s="748">
        <f t="shared" si="4"/>
        <v>1</v>
      </c>
      <c r="U31" s="382">
        <v>0</v>
      </c>
      <c r="V31" s="297"/>
      <c r="W31" s="297"/>
      <c r="X31" s="297"/>
      <c r="Y31" s="297"/>
      <c r="Z31" s="297"/>
      <c r="AA31" s="297"/>
      <c r="AB31" s="748"/>
    </row>
    <row r="32" spans="1:28" ht="21.75" customHeight="1" thickBot="1">
      <c r="A32" s="111"/>
      <c r="B32" s="112" t="s">
        <v>564</v>
      </c>
      <c r="C32" s="1301" t="s">
        <v>74</v>
      </c>
      <c r="D32" s="1301"/>
      <c r="E32" s="382">
        <f>'3.sz.m Önk  bev.'!E31</f>
        <v>0</v>
      </c>
      <c r="F32" s="297">
        <f>'3.sz.m Önk  bev.'!F31</f>
        <v>0</v>
      </c>
      <c r="G32" s="297">
        <f>'3.sz.m Önk  bev.'!G31+'5.1 sz. m Köz Hiv'!F13+'5.2 sz. m ÁMK'!F16</f>
        <v>406378</v>
      </c>
      <c r="H32" s="297">
        <f>'3.sz.m Önk  bev.'!H31+'5.1 sz. m Köz Hiv'!G13+'5.2 sz. m ÁMK'!G16</f>
        <v>642747</v>
      </c>
      <c r="I32" s="297">
        <f>'3.sz.m Önk  bev.'!I31+'5.1 sz. m Köz Hiv'!H13+'5.2 sz. m ÁMK'!H16</f>
        <v>1220357</v>
      </c>
      <c r="J32" s="297">
        <f>'3.sz.m Önk  bev.'!J31+'5.1 sz. m Köz Hiv'!I13+'5.2 sz. m ÁMK'!I16</f>
        <v>4800430</v>
      </c>
      <c r="K32" s="297">
        <f>'3.sz.m Önk  bev.'!K31+'5.1 sz. m Köz Hiv'!J13+'5.2 sz. m ÁMK'!J16</f>
        <v>4566004</v>
      </c>
      <c r="L32" s="748">
        <f t="shared" si="3"/>
        <v>0.9511656247461165</v>
      </c>
      <c r="M32" s="382">
        <f>'3.sz.m Önk  bev.'!M31</f>
        <v>0</v>
      </c>
      <c r="N32" s="297">
        <f>'3.sz.m Önk  bev.'!N31</f>
        <v>0</v>
      </c>
      <c r="O32" s="297">
        <f>'3.sz.m Önk  bev.'!O31+'5.1 sz. m Köz Hiv'!N13+'5.2 sz. m ÁMK'!N16</f>
        <v>406378</v>
      </c>
      <c r="P32" s="297">
        <f>'3.sz.m Önk  bev.'!P31</f>
        <v>549303</v>
      </c>
      <c r="Q32" s="297">
        <f>'3.sz.m Önk  bev.'!Q31</f>
        <v>1123313</v>
      </c>
      <c r="R32" s="297">
        <f>'3.sz.m Önk  bev.'!R31</f>
        <v>2444849</v>
      </c>
      <c r="S32" s="297">
        <f>'3.sz.m Önk  bev.'!S31</f>
        <v>2210449</v>
      </c>
      <c r="T32" s="748">
        <f t="shared" si="4"/>
        <v>4.450820403311105</v>
      </c>
      <c r="U32" s="382">
        <v>0</v>
      </c>
      <c r="V32" s="297"/>
      <c r="W32" s="297"/>
      <c r="X32" s="297"/>
      <c r="Y32" s="297"/>
      <c r="Z32" s="297"/>
      <c r="AA32" s="297"/>
      <c r="AB32" s="748"/>
    </row>
    <row r="33" spans="1:28" ht="42.75" customHeight="1" thickBot="1">
      <c r="A33" s="114" t="s">
        <v>10</v>
      </c>
      <c r="B33" s="1300" t="s">
        <v>326</v>
      </c>
      <c r="C33" s="1300"/>
      <c r="D33" s="1300"/>
      <c r="E33" s="373">
        <f aca="true" t="shared" si="10" ref="E33:P33">SUM(E34:E38)</f>
        <v>279000033</v>
      </c>
      <c r="F33" s="117">
        <f t="shared" si="10"/>
        <v>279000033</v>
      </c>
      <c r="G33" s="117">
        <f t="shared" si="10"/>
        <v>279880420</v>
      </c>
      <c r="H33" s="117">
        <f>SUM(H34:H38)</f>
        <v>279593671</v>
      </c>
      <c r="I33" s="117">
        <f>SUM(I34:I38)</f>
        <v>278790393</v>
      </c>
      <c r="J33" s="117">
        <f>SUM(J34:J38)</f>
        <v>277459740</v>
      </c>
      <c r="K33" s="117">
        <f>SUM(K34:K38)</f>
        <v>277430580</v>
      </c>
      <c r="L33" s="764">
        <f t="shared" si="3"/>
        <v>0.99989490367143</v>
      </c>
      <c r="M33" s="373">
        <f t="shared" si="10"/>
        <v>279000033</v>
      </c>
      <c r="N33" s="117">
        <f t="shared" si="10"/>
        <v>279000033</v>
      </c>
      <c r="O33" s="117">
        <f t="shared" si="10"/>
        <v>279880420</v>
      </c>
      <c r="P33" s="117">
        <f t="shared" si="10"/>
        <v>279593671</v>
      </c>
      <c r="Q33" s="117">
        <f>SUM(Q34:Q38)</f>
        <v>278790393</v>
      </c>
      <c r="R33" s="117">
        <f>SUM(R34:R38)</f>
        <v>277459740</v>
      </c>
      <c r="S33" s="117">
        <f>SUM(S34:S38)</f>
        <v>277430580</v>
      </c>
      <c r="T33" s="764">
        <f t="shared" si="4"/>
        <v>0.992367742115307</v>
      </c>
      <c r="U33" s="373">
        <v>0</v>
      </c>
      <c r="V33" s="117"/>
      <c r="W33" s="117"/>
      <c r="X33" s="117"/>
      <c r="Y33" s="117"/>
      <c r="Z33" s="117"/>
      <c r="AA33" s="117"/>
      <c r="AB33" s="764"/>
    </row>
    <row r="34" spans="1:28" ht="21.75" customHeight="1">
      <c r="A34" s="108"/>
      <c r="B34" s="112" t="s">
        <v>44</v>
      </c>
      <c r="C34" s="1298" t="s">
        <v>327</v>
      </c>
      <c r="D34" s="1299"/>
      <c r="E34" s="382">
        <f>'3.sz.m Önk  bev.'!E33</f>
        <v>237504190</v>
      </c>
      <c r="F34" s="297">
        <f>'3.sz.m Önk  bev.'!F33</f>
        <v>240592752</v>
      </c>
      <c r="G34" s="297">
        <f>'3.sz.m Önk  bev.'!G33</f>
        <v>245542709</v>
      </c>
      <c r="H34" s="297">
        <f>'3.sz.m Önk  bev.'!H33</f>
        <v>249468023</v>
      </c>
      <c r="I34" s="297">
        <f>'3.sz.m Önk  bev.'!I33</f>
        <v>249329042</v>
      </c>
      <c r="J34" s="297">
        <f>'3.sz.m Önk  bev.'!J33</f>
        <v>247220654</v>
      </c>
      <c r="K34" s="297">
        <f>'3.sz.m Önk  bev.'!K33</f>
        <v>247220654</v>
      </c>
      <c r="L34" s="765">
        <f t="shared" si="3"/>
        <v>1</v>
      </c>
      <c r="M34" s="382">
        <f>'3.sz.m Önk  bev.'!M33</f>
        <v>237504190</v>
      </c>
      <c r="N34" s="297">
        <f>'3.sz.m Önk  bev.'!N33</f>
        <v>240592752</v>
      </c>
      <c r="O34" s="297">
        <f>'3.sz.m Önk  bev.'!O33</f>
        <v>244781593</v>
      </c>
      <c r="P34" s="297">
        <f>'3.sz.m Önk  bev.'!P33</f>
        <v>249468023</v>
      </c>
      <c r="Q34" s="297">
        <f>'3.sz.m Önk  bev.'!Q33</f>
        <v>249329042</v>
      </c>
      <c r="R34" s="297">
        <f>'3.sz.m Önk  bev.'!R33</f>
        <v>247220654</v>
      </c>
      <c r="S34" s="297">
        <f>'3.sz.m Önk  bev.'!S33</f>
        <v>247220654</v>
      </c>
      <c r="T34" s="765">
        <f t="shared" si="4"/>
        <v>0.9909913544310246</v>
      </c>
      <c r="U34" s="382">
        <v>0</v>
      </c>
      <c r="V34" s="297"/>
      <c r="W34" s="297"/>
      <c r="X34" s="297"/>
      <c r="Y34" s="297"/>
      <c r="Z34" s="297"/>
      <c r="AA34" s="297"/>
      <c r="AB34" s="765"/>
    </row>
    <row r="35" spans="1:28" ht="21.75" customHeight="1">
      <c r="A35" s="107"/>
      <c r="B35" s="112" t="s">
        <v>45</v>
      </c>
      <c r="C35" s="1296" t="s">
        <v>576</v>
      </c>
      <c r="D35" s="1297"/>
      <c r="E35" s="382">
        <f>'3.sz.m Önk  bev.'!E34</f>
        <v>0</v>
      </c>
      <c r="F35" s="297">
        <f>'3.sz.m Önk  bev.'!F34</f>
        <v>0</v>
      </c>
      <c r="G35" s="297">
        <f>'3.sz.m Önk  bev.'!G34</f>
        <v>3399025</v>
      </c>
      <c r="H35" s="297">
        <f>'3.sz.m Önk  bev.'!H34</f>
        <v>5181216</v>
      </c>
      <c r="I35" s="297">
        <f>'3.sz.m Önk  bev.'!I34</f>
        <v>5181216</v>
      </c>
      <c r="J35" s="297">
        <f>'3.sz.m Önk  bev.'!J34</f>
        <v>9065947</v>
      </c>
      <c r="K35" s="297">
        <f>'3.sz.m Önk  bev.'!K34</f>
        <v>9065947</v>
      </c>
      <c r="L35" s="766">
        <f t="shared" si="3"/>
        <v>1</v>
      </c>
      <c r="M35" s="382">
        <f>'3.sz.m Önk  bev.'!M34</f>
        <v>0</v>
      </c>
      <c r="N35" s="297">
        <f>'3.sz.m Önk  bev.'!N34</f>
        <v>0</v>
      </c>
      <c r="O35" s="297">
        <f>'3.sz.m Önk  bev.'!O34</f>
        <v>3399025</v>
      </c>
      <c r="P35" s="297">
        <f>'3.sz.m Önk  bev.'!P34</f>
        <v>5181216</v>
      </c>
      <c r="Q35" s="297">
        <f>'3.sz.m Önk  bev.'!Q34</f>
        <v>5181216</v>
      </c>
      <c r="R35" s="297">
        <f>'3.sz.m Önk  bev.'!R34</f>
        <v>9065947</v>
      </c>
      <c r="S35" s="297">
        <f>'3.sz.m Önk  bev.'!S34</f>
        <v>9065947</v>
      </c>
      <c r="T35" s="766">
        <f t="shared" si="4"/>
        <v>1.749772061230414</v>
      </c>
      <c r="U35" s="382">
        <v>0</v>
      </c>
      <c r="V35" s="297"/>
      <c r="W35" s="297"/>
      <c r="X35" s="297"/>
      <c r="Y35" s="297"/>
      <c r="Z35" s="297"/>
      <c r="AA35" s="297"/>
      <c r="AB35" s="766"/>
    </row>
    <row r="36" spans="1:28" ht="21.75" customHeight="1">
      <c r="A36" s="107"/>
      <c r="B36" s="112" t="s">
        <v>71</v>
      </c>
      <c r="C36" s="1296" t="s">
        <v>477</v>
      </c>
      <c r="D36" s="1296"/>
      <c r="E36" s="382">
        <f>'3.sz.m Önk  bev.'!E35</f>
        <v>0</v>
      </c>
      <c r="F36" s="297">
        <f>'3.sz.m Önk  bev.'!F35</f>
        <v>0</v>
      </c>
      <c r="G36" s="297">
        <f>'3.sz.m Önk  bev.'!G35</f>
        <v>0</v>
      </c>
      <c r="H36" s="297">
        <f>'3.sz.m Önk  bev.'!H35</f>
        <v>0</v>
      </c>
      <c r="I36" s="297">
        <f>'3.sz.m Önk  bev.'!I35</f>
        <v>0</v>
      </c>
      <c r="J36" s="297">
        <f>'3.sz.m Önk  bev.'!J35</f>
        <v>0</v>
      </c>
      <c r="K36" s="297">
        <f>'3.sz.m Önk  bev.'!K35</f>
        <v>0</v>
      </c>
      <c r="L36" s="766"/>
      <c r="M36" s="382">
        <f>'3.sz.m Önk  bev.'!M35</f>
        <v>0</v>
      </c>
      <c r="N36" s="297">
        <f>'3.sz.m Önk  bev.'!N35</f>
        <v>0</v>
      </c>
      <c r="O36" s="297">
        <f>'3.sz.m Önk  bev.'!O35</f>
        <v>0</v>
      </c>
      <c r="P36" s="297">
        <f>'3.sz.m Önk  bev.'!P35</f>
        <v>0</v>
      </c>
      <c r="Q36" s="297">
        <f>'3.sz.m Önk  bev.'!Q35</f>
        <v>0</v>
      </c>
      <c r="R36" s="297">
        <f>'3.sz.m Önk  bev.'!R35</f>
        <v>0</v>
      </c>
      <c r="S36" s="297">
        <f>'3.sz.m Önk  bev.'!S35</f>
        <v>0</v>
      </c>
      <c r="T36" s="766"/>
      <c r="U36" s="382">
        <v>0</v>
      </c>
      <c r="V36" s="297"/>
      <c r="W36" s="297"/>
      <c r="X36" s="297"/>
      <c r="Y36" s="297"/>
      <c r="Z36" s="297"/>
      <c r="AA36" s="297"/>
      <c r="AB36" s="766"/>
    </row>
    <row r="37" spans="1:28" ht="21.75" customHeight="1">
      <c r="A37" s="107"/>
      <c r="B37" s="112" t="s">
        <v>72</v>
      </c>
      <c r="C37" s="1296" t="s">
        <v>377</v>
      </c>
      <c r="D37" s="1297"/>
      <c r="E37" s="382"/>
      <c r="F37" s="297"/>
      <c r="G37" s="297">
        <f>'3.sz.m Önk  bev.'!G36</f>
        <v>0</v>
      </c>
      <c r="H37" s="297">
        <f>'3.sz.m Önk  bev.'!H36</f>
        <v>0</v>
      </c>
      <c r="I37" s="297">
        <f>'3.sz.m Önk  bev.'!I36</f>
        <v>0</v>
      </c>
      <c r="J37" s="297">
        <f>'3.sz.m Önk  bev.'!J36</f>
        <v>0</v>
      </c>
      <c r="K37" s="297">
        <f>'3.sz.m Önk  bev.'!K36</f>
        <v>0</v>
      </c>
      <c r="L37" s="766"/>
      <c r="M37" s="382"/>
      <c r="N37" s="297"/>
      <c r="O37" s="297"/>
      <c r="P37" s="297"/>
      <c r="Q37" s="297"/>
      <c r="R37" s="297"/>
      <c r="S37" s="297"/>
      <c r="T37" s="766"/>
      <c r="U37" s="382">
        <v>0</v>
      </c>
      <c r="V37" s="297"/>
      <c r="W37" s="297"/>
      <c r="X37" s="297"/>
      <c r="Y37" s="297"/>
      <c r="Z37" s="297"/>
      <c r="AA37" s="297"/>
      <c r="AB37" s="766"/>
    </row>
    <row r="38" spans="1:28" ht="45.75" customHeight="1">
      <c r="A38" s="107"/>
      <c r="B38" s="112" t="s">
        <v>373</v>
      </c>
      <c r="C38" s="1296" t="s">
        <v>328</v>
      </c>
      <c r="D38" s="1297"/>
      <c r="E38" s="382">
        <f aca="true" t="shared" si="11" ref="E38:P38">SUM(E39:E41)</f>
        <v>41495843</v>
      </c>
      <c r="F38" s="297">
        <f t="shared" si="11"/>
        <v>38407281</v>
      </c>
      <c r="G38" s="297">
        <f t="shared" si="11"/>
        <v>30938686</v>
      </c>
      <c r="H38" s="297">
        <f>SUM(H39:H41)</f>
        <v>24944432</v>
      </c>
      <c r="I38" s="297">
        <f>SUM(I39:I41)</f>
        <v>24280135</v>
      </c>
      <c r="J38" s="297">
        <f>SUM(J39:J41)</f>
        <v>21173139</v>
      </c>
      <c r="K38" s="297">
        <f>SUM(K39:K41)</f>
        <v>21143979</v>
      </c>
      <c r="L38" s="766">
        <f t="shared" si="3"/>
        <v>0.9986227833293873</v>
      </c>
      <c r="M38" s="382">
        <f t="shared" si="11"/>
        <v>41495843</v>
      </c>
      <c r="N38" s="297">
        <f t="shared" si="11"/>
        <v>38407281</v>
      </c>
      <c r="O38" s="297">
        <f t="shared" si="11"/>
        <v>31699802</v>
      </c>
      <c r="P38" s="297">
        <f t="shared" si="11"/>
        <v>24944432</v>
      </c>
      <c r="Q38" s="297">
        <f>SUM(Q39:Q41)</f>
        <v>24280135</v>
      </c>
      <c r="R38" s="297">
        <f>SUM(R39:R41)</f>
        <v>21173139</v>
      </c>
      <c r="S38" s="297">
        <f>SUM(S39:S41)</f>
        <v>21143979</v>
      </c>
      <c r="T38" s="766">
        <f t="shared" si="4"/>
        <v>0.8488122319241425</v>
      </c>
      <c r="U38" s="382">
        <v>0</v>
      </c>
      <c r="V38" s="297"/>
      <c r="W38" s="297"/>
      <c r="X38" s="297"/>
      <c r="Y38" s="297"/>
      <c r="Z38" s="297"/>
      <c r="AA38" s="297"/>
      <c r="AB38" s="766"/>
    </row>
    <row r="39" spans="1:28" ht="21.75" customHeight="1">
      <c r="A39" s="107"/>
      <c r="B39" s="112"/>
      <c r="C39" s="109" t="s">
        <v>374</v>
      </c>
      <c r="D39" s="632" t="s">
        <v>35</v>
      </c>
      <c r="E39" s="382">
        <f>'3.sz.m Önk  bev.'!E38</f>
        <v>7690835</v>
      </c>
      <c r="F39" s="297">
        <f>'3.sz.m Önk  bev.'!F38</f>
        <v>7690835</v>
      </c>
      <c r="G39" s="297">
        <f>'3.sz.m Önk  bev.'!G38</f>
        <v>7690835</v>
      </c>
      <c r="H39" s="297">
        <f>'3.sz.m Önk  bev.'!H38</f>
        <v>7690835</v>
      </c>
      <c r="I39" s="297">
        <f>'3.sz.m Önk  bev.'!I38</f>
        <v>7690835</v>
      </c>
      <c r="J39" s="297">
        <f>'3.sz.m Önk  bev.'!J38</f>
        <v>8253000</v>
      </c>
      <c r="K39" s="297">
        <f>'3.sz.m Önk  bev.'!K38</f>
        <v>8253000</v>
      </c>
      <c r="L39" s="766">
        <f t="shared" si="3"/>
        <v>1</v>
      </c>
      <c r="M39" s="382">
        <f>'3.sz.m Önk  bev.'!M38</f>
        <v>7690835</v>
      </c>
      <c r="N39" s="297">
        <f>'3.sz.m Önk  bev.'!N38</f>
        <v>7690835</v>
      </c>
      <c r="O39" s="297">
        <f>'3.sz.m Önk  bev.'!O38</f>
        <v>7690835</v>
      </c>
      <c r="P39" s="297">
        <f>'3.sz.m Önk  bev.'!P38</f>
        <v>7690835</v>
      </c>
      <c r="Q39" s="297">
        <f>'3.sz.m Önk  bev.'!Q38</f>
        <v>7690835</v>
      </c>
      <c r="R39" s="297">
        <f>'3.sz.m Önk  bev.'!R38</f>
        <v>8253000</v>
      </c>
      <c r="S39" s="297">
        <f>'3.sz.m Önk  bev.'!S38</f>
        <v>8253000</v>
      </c>
      <c r="T39" s="766">
        <f t="shared" si="4"/>
        <v>1.0730954441227774</v>
      </c>
      <c r="U39" s="382">
        <v>0</v>
      </c>
      <c r="V39" s="297"/>
      <c r="W39" s="297"/>
      <c r="X39" s="297"/>
      <c r="Y39" s="297"/>
      <c r="Z39" s="297"/>
      <c r="AA39" s="297"/>
      <c r="AB39" s="766"/>
    </row>
    <row r="40" spans="1:28" ht="21.75" customHeight="1">
      <c r="A40" s="107"/>
      <c r="B40" s="112"/>
      <c r="C40" s="103" t="s">
        <v>375</v>
      </c>
      <c r="D40" s="342" t="s">
        <v>34</v>
      </c>
      <c r="E40" s="382">
        <f>'3.sz.m Önk  bev.'!E39+'5.2 sz. m ÁMK'!D20</f>
        <v>0</v>
      </c>
      <c r="F40" s="297">
        <f>'3.sz.m Önk  bev.'!F39+'5.2 sz. m ÁMK'!E20</f>
        <v>0</v>
      </c>
      <c r="G40" s="297">
        <f>'3.sz.m Önk  bev.'!G39+'5.2 sz. m ÁMK'!F20</f>
        <v>0</v>
      </c>
      <c r="H40" s="297">
        <f>'3.sz.m Önk  bev.'!H39+'5.2 sz. m ÁMK'!G20</f>
        <v>0</v>
      </c>
      <c r="I40" s="297">
        <f>'3.sz.m Önk  bev.'!I39+'5.2 sz. m ÁMK'!H20</f>
        <v>0</v>
      </c>
      <c r="J40" s="297">
        <f>'3.sz.m Önk  bev.'!J39+'5.2 sz. m ÁMK'!I20</f>
        <v>0</v>
      </c>
      <c r="K40" s="297">
        <f>'3.sz.m Önk  bev.'!K39+'5.2 sz. m ÁMK'!J20</f>
        <v>0</v>
      </c>
      <c r="L40" s="766"/>
      <c r="M40" s="382">
        <f>'3.sz.m Önk  bev.'!M39+'5.2 sz. m ÁMK'!L20</f>
        <v>0</v>
      </c>
      <c r="N40" s="297">
        <f>'3.sz.m Önk  bev.'!N39+'5.2 sz. m ÁMK'!M20</f>
        <v>0</v>
      </c>
      <c r="O40" s="297">
        <f>'3.sz.m Önk  bev.'!O39+'5.2 sz. m ÁMK'!N20</f>
        <v>0</v>
      </c>
      <c r="P40" s="297">
        <f>'3.sz.m Önk  bev.'!P39+'5.2 sz. m ÁMK'!O20</f>
        <v>0</v>
      </c>
      <c r="Q40" s="297">
        <f>'3.sz.m Önk  bev.'!Q39+'5.2 sz. m ÁMK'!P20</f>
        <v>0</v>
      </c>
      <c r="R40" s="297">
        <f>'3.sz.m Önk  bev.'!R39+'5.2 sz. m ÁMK'!Q20</f>
        <v>0</v>
      </c>
      <c r="S40" s="297">
        <f>'3.sz.m Önk  bev.'!S39+'5.2 sz. m ÁMK'!R20</f>
        <v>0</v>
      </c>
      <c r="T40" s="766"/>
      <c r="U40" s="382">
        <v>0</v>
      </c>
      <c r="V40" s="297"/>
      <c r="W40" s="297"/>
      <c r="X40" s="297"/>
      <c r="Y40" s="297"/>
      <c r="Z40" s="297"/>
      <c r="AA40" s="297"/>
      <c r="AB40" s="766"/>
    </row>
    <row r="41" spans="1:28" ht="21.75" customHeight="1" thickBot="1">
      <c r="A41" s="107"/>
      <c r="B41" s="112"/>
      <c r="C41" s="103" t="s">
        <v>376</v>
      </c>
      <c r="D41" s="342" t="s">
        <v>36</v>
      </c>
      <c r="E41" s="382">
        <f>'3.sz.m Önk  bev.'!E40+'5.1 sz. m Köz Hiv'!D16</f>
        <v>33805008</v>
      </c>
      <c r="F41" s="382">
        <f>'3.sz.m Önk  bev.'!F40+'5.1 sz. m Köz Hiv'!E16</f>
        <v>30716446</v>
      </c>
      <c r="G41" s="382">
        <f>'3.sz.m Önk  bev.'!G40+'5.1 sz. m Köz Hiv'!F16</f>
        <v>23247851</v>
      </c>
      <c r="H41" s="382">
        <f>'3.sz.m Önk  bev.'!H40+'5.1 sz. m Köz Hiv'!G16+'5.2 sz. m ÁMK'!G19</f>
        <v>17253597</v>
      </c>
      <c r="I41" s="382">
        <f>'3.sz.m Önk  bev.'!I40+'5.1 sz. m Köz Hiv'!H16+'5.2 sz. m ÁMK'!H19</f>
        <v>16589300</v>
      </c>
      <c r="J41" s="382">
        <f>'3.sz.m Önk  bev.'!J40+'5.1 sz. m Köz Hiv'!I16+'5.2 sz. m ÁMK'!I19</f>
        <v>12920139</v>
      </c>
      <c r="K41" s="382">
        <f>'3.sz.m Önk  bev.'!K40+'5.1 sz. m Köz Hiv'!J16+'5.2 sz. m ÁMK'!J19</f>
        <v>12890979</v>
      </c>
      <c r="L41" s="767">
        <f t="shared" si="3"/>
        <v>0.9977430583370659</v>
      </c>
      <c r="M41" s="382">
        <f>'3.sz.m Önk  bev.'!M40+'5.1 sz. m Köz Hiv'!L16</f>
        <v>33805008</v>
      </c>
      <c r="N41" s="382">
        <f>'3.sz.m Önk  bev.'!N40+'5.1 sz. m Köz Hiv'!M16</f>
        <v>30716446</v>
      </c>
      <c r="O41" s="382">
        <f>'3.sz.m Önk  bev.'!O40+'5.1 sz. m Köz Hiv'!N16</f>
        <v>24008967</v>
      </c>
      <c r="P41" s="382">
        <f>'3.sz.m Önk  bev.'!P40+'5.1 sz. m Köz Hiv'!O16+'5.2 sz. m ÁMK'!O19</f>
        <v>17253597</v>
      </c>
      <c r="Q41" s="382">
        <f>'3.sz.m Önk  bev.'!Q40+'5.1 sz. m Köz Hiv'!P16+'5.2 sz. m ÁMK'!P19</f>
        <v>16589300</v>
      </c>
      <c r="R41" s="382">
        <f>'3.sz.m Önk  bev.'!R40+'5.1 sz. m Köz Hiv'!Q16+'5.2 sz. m ÁMK'!Q19</f>
        <v>12920139</v>
      </c>
      <c r="S41" s="382">
        <f>'3.sz.m Önk  bev.'!S40+'5.1 sz. m Köz Hiv'!R16+'5.2 sz. m ÁMK'!R19</f>
        <v>12890979</v>
      </c>
      <c r="T41" s="767">
        <f t="shared" si="4"/>
        <v>0.7488374163370107</v>
      </c>
      <c r="U41" s="382">
        <v>0</v>
      </c>
      <c r="V41" s="297"/>
      <c r="W41" s="297"/>
      <c r="X41" s="297"/>
      <c r="Y41" s="297"/>
      <c r="Z41" s="297"/>
      <c r="AA41" s="297"/>
      <c r="AB41" s="767"/>
    </row>
    <row r="42" spans="1:28" ht="33" customHeight="1" thickBot="1">
      <c r="A42" s="114" t="s">
        <v>11</v>
      </c>
      <c r="B42" s="1310" t="s">
        <v>329</v>
      </c>
      <c r="C42" s="1310"/>
      <c r="D42" s="1310"/>
      <c r="E42" s="373">
        <f>SUM(E43:E44)</f>
        <v>6000000</v>
      </c>
      <c r="F42" s="117">
        <f aca="true" t="shared" si="12" ref="F42:K42">SUM(F43:F44)+F48</f>
        <v>6000000</v>
      </c>
      <c r="G42" s="117">
        <f t="shared" si="12"/>
        <v>6000000</v>
      </c>
      <c r="H42" s="117">
        <f t="shared" si="12"/>
        <v>7500000</v>
      </c>
      <c r="I42" s="117">
        <f t="shared" si="12"/>
        <v>7500000</v>
      </c>
      <c r="J42" s="117">
        <f t="shared" si="12"/>
        <v>7500000</v>
      </c>
      <c r="K42" s="117">
        <f t="shared" si="12"/>
        <v>7500000</v>
      </c>
      <c r="L42" s="764">
        <f t="shared" si="3"/>
        <v>1</v>
      </c>
      <c r="M42" s="373">
        <f>SUM(M43:M44)</f>
        <v>6000000</v>
      </c>
      <c r="N42" s="117">
        <f>SUM(N43:N44)</f>
        <v>6000000</v>
      </c>
      <c r="O42" s="117">
        <f>SUM(O43:O44)</f>
        <v>6000000</v>
      </c>
      <c r="P42" s="117">
        <f>SUM(P43:P44)+P48</f>
        <v>6000000</v>
      </c>
      <c r="Q42" s="117">
        <f>SUM(Q43:Q44)+Q48</f>
        <v>6000000</v>
      </c>
      <c r="R42" s="117">
        <f>SUM(R43:R44)+R48</f>
        <v>6000000</v>
      </c>
      <c r="S42" s="117">
        <f>SUM(S43:S44)+S48</f>
        <v>6000000</v>
      </c>
      <c r="T42" s="764">
        <f t="shared" si="4"/>
        <v>1</v>
      </c>
      <c r="U42" s="373">
        <f>SUM(U43:U44)</f>
        <v>0</v>
      </c>
      <c r="V42" s="117">
        <f>SUM(V43:V44)</f>
        <v>0</v>
      </c>
      <c r="W42" s="117">
        <f>SUM(W43:W44)</f>
        <v>0</v>
      </c>
      <c r="X42" s="117">
        <f>SUM(X43:X44)+X48</f>
        <v>1500000</v>
      </c>
      <c r="Y42" s="117">
        <f>SUM(Y43:Y44)+Y48</f>
        <v>1500000</v>
      </c>
      <c r="Z42" s="117">
        <f>SUM(Z43:Z44)+Z48</f>
        <v>1500000</v>
      </c>
      <c r="AA42" s="117">
        <f>SUM(AA43:AA44)+AA48</f>
        <v>1500000</v>
      </c>
      <c r="AB42" s="764"/>
    </row>
    <row r="43" spans="1:28" ht="21.75" customHeight="1">
      <c r="A43" s="108"/>
      <c r="B43" s="115" t="s">
        <v>330</v>
      </c>
      <c r="C43" s="1308" t="s">
        <v>332</v>
      </c>
      <c r="D43" s="1308"/>
      <c r="E43" s="382">
        <f>'3.sz.m Önk  bev.'!E42</f>
        <v>0</v>
      </c>
      <c r="F43" s="297">
        <f>'3.sz.m Önk  bev.'!F42</f>
        <v>0</v>
      </c>
      <c r="G43" s="297">
        <f>'3.sz.m Önk  bev.'!G42</f>
        <v>0</v>
      </c>
      <c r="H43" s="297">
        <f>'3.sz.m Önk  bev.'!H42</f>
        <v>0</v>
      </c>
      <c r="I43" s="297">
        <f>'3.sz.m Önk  bev.'!I42</f>
        <v>0</v>
      </c>
      <c r="J43" s="297">
        <f>'3.sz.m Önk  bev.'!J42</f>
        <v>0</v>
      </c>
      <c r="K43" s="297">
        <f>'3.sz.m Önk  bev.'!K42</f>
        <v>0</v>
      </c>
      <c r="L43" s="768"/>
      <c r="M43" s="382">
        <f>'3.sz.m Önk  bev.'!M42</f>
        <v>0</v>
      </c>
      <c r="N43" s="297">
        <f>'3.sz.m Önk  bev.'!N42</f>
        <v>0</v>
      </c>
      <c r="O43" s="297">
        <f>'3.sz.m Önk  bev.'!O42</f>
        <v>0</v>
      </c>
      <c r="P43" s="297">
        <f>'3.sz.m Önk  bev.'!P42</f>
        <v>0</v>
      </c>
      <c r="Q43" s="297">
        <f>'3.sz.m Önk  bev.'!Q42</f>
        <v>0</v>
      </c>
      <c r="R43" s="297">
        <f>'3.sz.m Önk  bev.'!R42</f>
        <v>0</v>
      </c>
      <c r="S43" s="297">
        <f>'3.sz.m Önk  bev.'!S42</f>
        <v>0</v>
      </c>
      <c r="T43" s="768"/>
      <c r="U43" s="382">
        <v>0</v>
      </c>
      <c r="V43" s="297"/>
      <c r="W43" s="297"/>
      <c r="X43" s="297"/>
      <c r="Y43" s="297"/>
      <c r="Z43" s="297"/>
      <c r="AA43" s="297"/>
      <c r="AB43" s="768"/>
    </row>
    <row r="44" spans="1:28" ht="21.75" customHeight="1">
      <c r="A44" s="107"/>
      <c r="B44" s="104" t="s">
        <v>331</v>
      </c>
      <c r="C44" s="1296" t="s">
        <v>333</v>
      </c>
      <c r="D44" s="1296"/>
      <c r="E44" s="382">
        <f aca="true" t="shared" si="13" ref="E44:P44">SUM(E45:E47)</f>
        <v>6000000</v>
      </c>
      <c r="F44" s="297">
        <f t="shared" si="13"/>
        <v>6000000</v>
      </c>
      <c r="G44" s="297">
        <f t="shared" si="13"/>
        <v>6000000</v>
      </c>
      <c r="H44" s="297">
        <f>SUM(H45:H47)</f>
        <v>6000000</v>
      </c>
      <c r="I44" s="297">
        <f>SUM(I45:I47)</f>
        <v>6000000</v>
      </c>
      <c r="J44" s="297">
        <f>SUM(J45:J47)</f>
        <v>6000000</v>
      </c>
      <c r="K44" s="297">
        <f>SUM(K45:K47)</f>
        <v>6000000</v>
      </c>
      <c r="L44" s="748">
        <f t="shared" si="3"/>
        <v>1</v>
      </c>
      <c r="M44" s="382">
        <f t="shared" si="13"/>
        <v>6000000</v>
      </c>
      <c r="N44" s="297">
        <f t="shared" si="13"/>
        <v>6000000</v>
      </c>
      <c r="O44" s="297">
        <f t="shared" si="13"/>
        <v>6000000</v>
      </c>
      <c r="P44" s="297">
        <f t="shared" si="13"/>
        <v>6000000</v>
      </c>
      <c r="Q44" s="297">
        <f>SUM(Q45:Q47)</f>
        <v>6000000</v>
      </c>
      <c r="R44" s="297">
        <f>SUM(R45:R47)</f>
        <v>6000000</v>
      </c>
      <c r="S44" s="297">
        <f>SUM(S45:S47)</f>
        <v>6000000</v>
      </c>
      <c r="T44" s="748">
        <f t="shared" si="4"/>
        <v>1</v>
      </c>
      <c r="U44" s="382">
        <v>0</v>
      </c>
      <c r="V44" s="297"/>
      <c r="W44" s="297"/>
      <c r="X44" s="297"/>
      <c r="Y44" s="297"/>
      <c r="Z44" s="297"/>
      <c r="AA44" s="297"/>
      <c r="AB44" s="748"/>
    </row>
    <row r="45" spans="1:28" ht="21.75" customHeight="1">
      <c r="A45" s="107"/>
      <c r="B45" s="115"/>
      <c r="C45" s="109" t="s">
        <v>334</v>
      </c>
      <c r="D45" s="632" t="s">
        <v>35</v>
      </c>
      <c r="E45" s="382">
        <f>'3.sz.m Önk  bev.'!E44</f>
        <v>0</v>
      </c>
      <c r="F45" s="297">
        <f>'3.sz.m Önk  bev.'!F44</f>
        <v>0</v>
      </c>
      <c r="G45" s="297">
        <f>'3.sz.m Önk  bev.'!G44</f>
        <v>0</v>
      </c>
      <c r="H45" s="297">
        <f>'3.sz.m Önk  bev.'!H44</f>
        <v>0</v>
      </c>
      <c r="I45" s="297">
        <f>'3.sz.m Önk  bev.'!I44</f>
        <v>0</v>
      </c>
      <c r="J45" s="297">
        <f>'3.sz.m Önk  bev.'!J44</f>
        <v>0</v>
      </c>
      <c r="K45" s="297">
        <f>'3.sz.m Önk  bev.'!K44</f>
        <v>0</v>
      </c>
      <c r="L45" s="748"/>
      <c r="M45" s="382">
        <f>'3.sz.m Önk  bev.'!M44</f>
        <v>0</v>
      </c>
      <c r="N45" s="297">
        <f>'3.sz.m Önk  bev.'!N44</f>
        <v>0</v>
      </c>
      <c r="O45" s="297">
        <f>'3.sz.m Önk  bev.'!O44</f>
        <v>0</v>
      </c>
      <c r="P45" s="297">
        <f>'3.sz.m Önk  bev.'!P44</f>
        <v>0</v>
      </c>
      <c r="Q45" s="297">
        <f>'3.sz.m Önk  bev.'!Q44</f>
        <v>0</v>
      </c>
      <c r="R45" s="297">
        <f>'3.sz.m Önk  bev.'!R44</f>
        <v>0</v>
      </c>
      <c r="S45" s="297">
        <f>'3.sz.m Önk  bev.'!S44</f>
        <v>0</v>
      </c>
      <c r="T45" s="748"/>
      <c r="U45" s="382">
        <v>0</v>
      </c>
      <c r="V45" s="297"/>
      <c r="W45" s="297"/>
      <c r="X45" s="297"/>
      <c r="Y45" s="297"/>
      <c r="Z45" s="297"/>
      <c r="AA45" s="297"/>
      <c r="AB45" s="748"/>
    </row>
    <row r="46" spans="1:28" ht="21.75" customHeight="1">
      <c r="A46" s="107"/>
      <c r="B46" s="104"/>
      <c r="C46" s="103" t="s">
        <v>335</v>
      </c>
      <c r="D46" s="632" t="s">
        <v>34</v>
      </c>
      <c r="E46" s="382">
        <f>'3.sz.m Önk  bev.'!E45</f>
        <v>0</v>
      </c>
      <c r="F46" s="297">
        <f>'3.sz.m Önk  bev.'!F45</f>
        <v>0</v>
      </c>
      <c r="G46" s="297">
        <f>'3.sz.m Önk  bev.'!G45</f>
        <v>0</v>
      </c>
      <c r="H46" s="297">
        <f>'3.sz.m Önk  bev.'!H45</f>
        <v>0</v>
      </c>
      <c r="I46" s="297">
        <f>'3.sz.m Önk  bev.'!I45</f>
        <v>0</v>
      </c>
      <c r="J46" s="297">
        <f>'3.sz.m Önk  bev.'!J45</f>
        <v>0</v>
      </c>
      <c r="K46" s="297">
        <f>'3.sz.m Önk  bev.'!K45</f>
        <v>0</v>
      </c>
      <c r="L46" s="748"/>
      <c r="M46" s="382">
        <f>'3.sz.m Önk  bev.'!M45</f>
        <v>0</v>
      </c>
      <c r="N46" s="297">
        <f>'3.sz.m Önk  bev.'!N45</f>
        <v>0</v>
      </c>
      <c r="O46" s="297">
        <f>'3.sz.m Önk  bev.'!O45</f>
        <v>0</v>
      </c>
      <c r="P46" s="297">
        <f>'3.sz.m Önk  bev.'!P45</f>
        <v>0</v>
      </c>
      <c r="Q46" s="297">
        <f>'3.sz.m Önk  bev.'!Q45</f>
        <v>0</v>
      </c>
      <c r="R46" s="297">
        <f>'3.sz.m Önk  bev.'!R45</f>
        <v>0</v>
      </c>
      <c r="S46" s="297">
        <f>'3.sz.m Önk  bev.'!S45</f>
        <v>0</v>
      </c>
      <c r="T46" s="748"/>
      <c r="U46" s="382">
        <v>0</v>
      </c>
      <c r="V46" s="297"/>
      <c r="W46" s="297"/>
      <c r="X46" s="297"/>
      <c r="Y46" s="297"/>
      <c r="Z46" s="297"/>
      <c r="AA46" s="297"/>
      <c r="AB46" s="748"/>
    </row>
    <row r="47" spans="1:28" ht="21.75" customHeight="1">
      <c r="A47" s="111"/>
      <c r="B47" s="115"/>
      <c r="C47" s="109" t="s">
        <v>336</v>
      </c>
      <c r="D47" s="632" t="s">
        <v>337</v>
      </c>
      <c r="E47" s="382">
        <f>'3.sz.m Önk  bev.'!E46</f>
        <v>6000000</v>
      </c>
      <c r="F47" s="297">
        <f>'3.sz.m Önk  bev.'!F46</f>
        <v>6000000</v>
      </c>
      <c r="G47" s="297">
        <f>'3.sz.m Önk  bev.'!G46</f>
        <v>6000000</v>
      </c>
      <c r="H47" s="297">
        <f>'3.sz.m Önk  bev.'!H46</f>
        <v>6000000</v>
      </c>
      <c r="I47" s="297">
        <f>'3.sz.m Önk  bev.'!I46</f>
        <v>6000000</v>
      </c>
      <c r="J47" s="297">
        <f>'3.sz.m Önk  bev.'!J46</f>
        <v>6000000</v>
      </c>
      <c r="K47" s="297">
        <f>'3.sz.m Önk  bev.'!K46</f>
        <v>6000000</v>
      </c>
      <c r="L47" s="748">
        <f t="shared" si="3"/>
        <v>1</v>
      </c>
      <c r="M47" s="382">
        <f>'3.sz.m Önk  bev.'!M46</f>
        <v>6000000</v>
      </c>
      <c r="N47" s="297">
        <f>'3.sz.m Önk  bev.'!N46</f>
        <v>6000000</v>
      </c>
      <c r="O47" s="297">
        <f>'3.sz.m Önk  bev.'!O46</f>
        <v>6000000</v>
      </c>
      <c r="P47" s="297">
        <f>'3.sz.m Önk  bev.'!P46</f>
        <v>6000000</v>
      </c>
      <c r="Q47" s="297">
        <f>'3.sz.m Önk  bev.'!Q46</f>
        <v>6000000</v>
      </c>
      <c r="R47" s="297">
        <f>'3.sz.m Önk  bev.'!R46</f>
        <v>6000000</v>
      </c>
      <c r="S47" s="297">
        <f>'3.sz.m Önk  bev.'!S46</f>
        <v>6000000</v>
      </c>
      <c r="T47" s="748">
        <f t="shared" si="4"/>
        <v>1</v>
      </c>
      <c r="U47" s="382">
        <v>0</v>
      </c>
      <c r="V47" s="297"/>
      <c r="W47" s="297"/>
      <c r="X47" s="297"/>
      <c r="Y47" s="297"/>
      <c r="Z47" s="297"/>
      <c r="AA47" s="297"/>
      <c r="AB47" s="748"/>
    </row>
    <row r="48" spans="1:28" ht="21.75" customHeight="1" thickBot="1">
      <c r="A48" s="388"/>
      <c r="B48" s="104" t="s">
        <v>363</v>
      </c>
      <c r="C48" s="1296" t="s">
        <v>565</v>
      </c>
      <c r="D48" s="1296"/>
      <c r="E48" s="382"/>
      <c r="F48" s="297">
        <f>'3.sz.m Önk  bev.'!F47</f>
        <v>0</v>
      </c>
      <c r="G48" s="297">
        <f>'3.sz.m Önk  bev.'!G47</f>
        <v>0</v>
      </c>
      <c r="H48" s="297">
        <f>'3.sz.m Önk  bev.'!H47</f>
        <v>1500000</v>
      </c>
      <c r="I48" s="297">
        <f>'3.sz.m Önk  bev.'!I47</f>
        <v>1500000</v>
      </c>
      <c r="J48" s="297">
        <f>'3.sz.m Önk  bev.'!J47</f>
        <v>1500000</v>
      </c>
      <c r="K48" s="297">
        <f>'3.sz.m Önk  bev.'!K47</f>
        <v>1500000</v>
      </c>
      <c r="L48" s="748">
        <f t="shared" si="3"/>
        <v>1</v>
      </c>
      <c r="M48" s="382"/>
      <c r="N48" s="297"/>
      <c r="O48" s="297"/>
      <c r="P48" s="297">
        <f>'3.sz.m Önk  bev.'!P47</f>
        <v>0</v>
      </c>
      <c r="Q48" s="297">
        <f>'3.sz.m Önk  bev.'!Q47</f>
        <v>0</v>
      </c>
      <c r="R48" s="297">
        <f>'3.sz.m Önk  bev.'!R47</f>
        <v>0</v>
      </c>
      <c r="S48" s="297">
        <f>'3.sz.m Önk  bev.'!S47</f>
        <v>0</v>
      </c>
      <c r="T48" s="748"/>
      <c r="U48" s="382">
        <v>0</v>
      </c>
      <c r="V48" s="297"/>
      <c r="W48" s="297"/>
      <c r="X48" s="297">
        <f>'3.sz.m Önk  bev.'!X47</f>
        <v>1500000</v>
      </c>
      <c r="Y48" s="297">
        <f>'3.sz.m Önk  bev.'!Y47</f>
        <v>1500000</v>
      </c>
      <c r="Z48" s="297">
        <f>'3.sz.m Önk  bev.'!Z47</f>
        <v>1500000</v>
      </c>
      <c r="AA48" s="297">
        <f>'3.sz.m Önk  bev.'!AA47</f>
        <v>1500000</v>
      </c>
      <c r="AB48" s="748"/>
    </row>
    <row r="49" spans="1:28" ht="21.75" customHeight="1" hidden="1" thickBot="1">
      <c r="A49" s="388"/>
      <c r="B49" s="115"/>
      <c r="C49" s="1304"/>
      <c r="D49" s="1305"/>
      <c r="E49" s="576"/>
      <c r="F49" s="577"/>
      <c r="G49" s="577"/>
      <c r="H49" s="577"/>
      <c r="I49" s="577"/>
      <c r="J49" s="577"/>
      <c r="K49" s="577"/>
      <c r="L49" s="749" t="e">
        <f t="shared" si="3"/>
        <v>#DIV/0!</v>
      </c>
      <c r="M49" s="576"/>
      <c r="N49" s="577"/>
      <c r="O49" s="577"/>
      <c r="P49" s="577"/>
      <c r="Q49" s="577"/>
      <c r="R49" s="577"/>
      <c r="S49" s="577"/>
      <c r="T49" s="749" t="e">
        <f t="shared" si="4"/>
        <v>#DIV/0!</v>
      </c>
      <c r="U49" s="576"/>
      <c r="V49" s="577"/>
      <c r="W49" s="577"/>
      <c r="X49" s="577"/>
      <c r="Y49" s="577"/>
      <c r="Z49" s="577"/>
      <c r="AA49" s="577"/>
      <c r="AB49" s="749"/>
    </row>
    <row r="50" spans="1:28" ht="21.75" customHeight="1" thickBot="1">
      <c r="A50" s="114" t="s">
        <v>12</v>
      </c>
      <c r="B50" s="1300" t="s">
        <v>78</v>
      </c>
      <c r="C50" s="1300"/>
      <c r="D50" s="1300"/>
      <c r="E50" s="373">
        <f aca="true" t="shared" si="14" ref="E50:P50">E51+E52</f>
        <v>60000</v>
      </c>
      <c r="F50" s="117">
        <f t="shared" si="14"/>
        <v>60000</v>
      </c>
      <c r="G50" s="117">
        <f t="shared" si="14"/>
        <v>360000</v>
      </c>
      <c r="H50" s="117">
        <f>H51+H52</f>
        <v>4898034</v>
      </c>
      <c r="I50" s="117">
        <f>I51+I52</f>
        <v>4924034</v>
      </c>
      <c r="J50" s="117">
        <f>J51+J52</f>
        <v>8517167</v>
      </c>
      <c r="K50" s="117">
        <f>K51+K52</f>
        <v>8517167</v>
      </c>
      <c r="L50" s="764">
        <f t="shared" si="3"/>
        <v>1</v>
      </c>
      <c r="M50" s="373">
        <f t="shared" si="14"/>
        <v>60000</v>
      </c>
      <c r="N50" s="117">
        <f t="shared" si="14"/>
        <v>60000</v>
      </c>
      <c r="O50" s="117">
        <f t="shared" si="14"/>
        <v>360000</v>
      </c>
      <c r="P50" s="117">
        <f t="shared" si="14"/>
        <v>4898034</v>
      </c>
      <c r="Q50" s="117">
        <f>Q51+Q52</f>
        <v>4924034</v>
      </c>
      <c r="R50" s="117">
        <f>R51+R52</f>
        <v>8517167</v>
      </c>
      <c r="S50" s="117">
        <f>S51+S52</f>
        <v>8517167</v>
      </c>
      <c r="T50" s="764">
        <f t="shared" si="4"/>
        <v>1.7388950342116858</v>
      </c>
      <c r="U50" s="373">
        <f aca="true" t="shared" si="15" ref="U50:Z50">U51+U52</f>
        <v>0</v>
      </c>
      <c r="V50" s="117">
        <f t="shared" si="15"/>
        <v>0</v>
      </c>
      <c r="W50" s="117">
        <f t="shared" si="15"/>
        <v>0</v>
      </c>
      <c r="X50" s="117">
        <f t="shared" si="15"/>
        <v>0</v>
      </c>
      <c r="Y50" s="117">
        <f t="shared" si="15"/>
        <v>0</v>
      </c>
      <c r="Z50" s="117">
        <f t="shared" si="15"/>
        <v>0</v>
      </c>
      <c r="AA50" s="117">
        <f>AA51+AA52</f>
        <v>0</v>
      </c>
      <c r="AB50" s="764"/>
    </row>
    <row r="51" spans="1:28" s="7" customFormat="1" ht="21.75" customHeight="1">
      <c r="A51" s="116"/>
      <c r="B51" s="115" t="s">
        <v>46</v>
      </c>
      <c r="C51" s="1308" t="s">
        <v>76</v>
      </c>
      <c r="D51" s="1308"/>
      <c r="E51" s="382">
        <f>'3.sz.m Önk  bev.'!E50</f>
        <v>60000</v>
      </c>
      <c r="F51" s="297">
        <f>'3.sz.m Önk  bev.'!F50</f>
        <v>60000</v>
      </c>
      <c r="G51" s="297">
        <f>'3.sz.m Önk  bev.'!G50</f>
        <v>60000</v>
      </c>
      <c r="H51" s="297">
        <f>'3.sz.m Önk  bev.'!H50</f>
        <v>260000</v>
      </c>
      <c r="I51" s="297">
        <f>'3.sz.m Önk  bev.'!I50</f>
        <v>260000</v>
      </c>
      <c r="J51" s="297">
        <f>'3.sz.m Önk  bev.'!J50</f>
        <v>260000</v>
      </c>
      <c r="K51" s="297">
        <f>'3.sz.m Önk  bev.'!K50</f>
        <v>260000</v>
      </c>
      <c r="L51" s="748">
        <f t="shared" si="3"/>
        <v>1</v>
      </c>
      <c r="M51" s="382">
        <f>'3.sz.m Önk  bev.'!M50</f>
        <v>60000</v>
      </c>
      <c r="N51" s="297">
        <f>'3.sz.m Önk  bev.'!N50</f>
        <v>60000</v>
      </c>
      <c r="O51" s="297">
        <f>'3.sz.m Önk  bev.'!O50</f>
        <v>60000</v>
      </c>
      <c r="P51" s="297">
        <f>'3.sz.m Önk  bev.'!P50</f>
        <v>260000</v>
      </c>
      <c r="Q51" s="297">
        <f>'3.sz.m Önk  bev.'!Q50</f>
        <v>260000</v>
      </c>
      <c r="R51" s="297">
        <f>'3.sz.m Önk  bev.'!R50</f>
        <v>260000</v>
      </c>
      <c r="S51" s="297">
        <f>'3.sz.m Önk  bev.'!S50</f>
        <v>260000</v>
      </c>
      <c r="T51" s="748">
        <f t="shared" si="4"/>
        <v>1</v>
      </c>
      <c r="U51" s="382">
        <v>0</v>
      </c>
      <c r="V51" s="297"/>
      <c r="W51" s="297"/>
      <c r="X51" s="297"/>
      <c r="Y51" s="297"/>
      <c r="Z51" s="297"/>
      <c r="AA51" s="297"/>
      <c r="AB51" s="748"/>
    </row>
    <row r="52" spans="1:28" ht="21.75" customHeight="1" thickBot="1">
      <c r="A52" s="107"/>
      <c r="B52" s="103" t="s">
        <v>47</v>
      </c>
      <c r="C52" s="1296" t="s">
        <v>544</v>
      </c>
      <c r="D52" s="1296"/>
      <c r="E52" s="382">
        <f>'3.sz.m Önk  bev.'!E51</f>
        <v>0</v>
      </c>
      <c r="F52" s="297">
        <f>'3.sz.m Önk  bev.'!F51</f>
        <v>0</v>
      </c>
      <c r="G52" s="297">
        <f>'3.sz.m Önk  bev.'!G51</f>
        <v>300000</v>
      </c>
      <c r="H52" s="297">
        <f>'3.sz.m Önk  bev.'!H51</f>
        <v>4638034</v>
      </c>
      <c r="I52" s="297">
        <f>'3.sz.m Önk  bev.'!I51</f>
        <v>4664034</v>
      </c>
      <c r="J52" s="297">
        <f>'3.sz.m Önk  bev.'!J51</f>
        <v>8257167</v>
      </c>
      <c r="K52" s="297">
        <f>'3.sz.m Önk  bev.'!K51</f>
        <v>8257167</v>
      </c>
      <c r="L52" s="769">
        <f t="shared" si="3"/>
        <v>1</v>
      </c>
      <c r="M52" s="382">
        <f>'3.sz.m Önk  bev.'!M51</f>
        <v>0</v>
      </c>
      <c r="N52" s="297">
        <f>'3.sz.m Önk  bev.'!N51</f>
        <v>0</v>
      </c>
      <c r="O52" s="297">
        <f>'3.sz.m Önk  bev.'!O51</f>
        <v>300000</v>
      </c>
      <c r="P52" s="297">
        <f>'3.sz.m Önk  bev.'!P51</f>
        <v>4638034</v>
      </c>
      <c r="Q52" s="297">
        <f>'3.sz.m Önk  bev.'!Q51</f>
        <v>4664034</v>
      </c>
      <c r="R52" s="297">
        <f>'3.sz.m Önk  bev.'!R51</f>
        <v>8257167</v>
      </c>
      <c r="S52" s="297">
        <f>'3.sz.m Önk  bev.'!S51</f>
        <v>8257167</v>
      </c>
      <c r="T52" s="769"/>
      <c r="U52" s="382">
        <v>0</v>
      </c>
      <c r="V52" s="297"/>
      <c r="W52" s="297"/>
      <c r="X52" s="297"/>
      <c r="Y52" s="297"/>
      <c r="Z52" s="297"/>
      <c r="AA52" s="297"/>
      <c r="AB52" s="769"/>
    </row>
    <row r="53" spans="1:28" ht="21.75" customHeight="1" thickBot="1">
      <c r="A53" s="114" t="s">
        <v>13</v>
      </c>
      <c r="B53" s="1300" t="s">
        <v>338</v>
      </c>
      <c r="C53" s="1300"/>
      <c r="D53" s="1300"/>
      <c r="E53" s="368">
        <f aca="true" t="shared" si="16" ref="E53:P53">SUM(E54:E55)</f>
        <v>0</v>
      </c>
      <c r="F53" s="299">
        <f t="shared" si="16"/>
        <v>0</v>
      </c>
      <c r="G53" s="299">
        <f t="shared" si="16"/>
        <v>4115</v>
      </c>
      <c r="H53" s="299">
        <f>SUM(H54:H55)</f>
        <v>10004115</v>
      </c>
      <c r="I53" s="299">
        <f>SUM(I54:I55)</f>
        <v>10004115</v>
      </c>
      <c r="J53" s="299">
        <f>SUM(J54:J55)</f>
        <v>10004115</v>
      </c>
      <c r="K53" s="299">
        <f>SUM(K54:K55)</f>
        <v>10004115</v>
      </c>
      <c r="L53" s="764">
        <f t="shared" si="3"/>
        <v>1</v>
      </c>
      <c r="M53" s="368">
        <f t="shared" si="16"/>
        <v>0</v>
      </c>
      <c r="N53" s="299">
        <f t="shared" si="16"/>
        <v>0</v>
      </c>
      <c r="O53" s="299">
        <f t="shared" si="16"/>
        <v>4115</v>
      </c>
      <c r="P53" s="299">
        <f t="shared" si="16"/>
        <v>10004115</v>
      </c>
      <c r="Q53" s="299">
        <f>SUM(Q54:Q55)</f>
        <v>10004115</v>
      </c>
      <c r="R53" s="299">
        <f>SUM(R54:R55)</f>
        <v>10004115</v>
      </c>
      <c r="S53" s="299">
        <f>SUM(S54:S55)</f>
        <v>10004115</v>
      </c>
      <c r="T53" s="764">
        <f t="shared" si="4"/>
        <v>1</v>
      </c>
      <c r="U53" s="368">
        <f aca="true" t="shared" si="17" ref="U53:Z53">SUM(U54:U55)</f>
        <v>0</v>
      </c>
      <c r="V53" s="299">
        <f t="shared" si="17"/>
        <v>0</v>
      </c>
      <c r="W53" s="299">
        <f t="shared" si="17"/>
        <v>0</v>
      </c>
      <c r="X53" s="299">
        <f t="shared" si="17"/>
        <v>0</v>
      </c>
      <c r="Y53" s="299">
        <f t="shared" si="17"/>
        <v>0</v>
      </c>
      <c r="Z53" s="299">
        <f t="shared" si="17"/>
        <v>0</v>
      </c>
      <c r="AA53" s="299">
        <f>SUM(AA54:AA55)</f>
        <v>0</v>
      </c>
      <c r="AB53" s="764"/>
    </row>
    <row r="54" spans="1:28" s="7" customFormat="1" ht="21.75" customHeight="1">
      <c r="A54" s="116"/>
      <c r="B54" s="109" t="s">
        <v>48</v>
      </c>
      <c r="C54" s="1308" t="s">
        <v>340</v>
      </c>
      <c r="D54" s="1308"/>
      <c r="E54" s="385">
        <f>'3.sz.m Önk  bev.'!E53</f>
        <v>0</v>
      </c>
      <c r="F54" s="300">
        <f>'3.sz.m Önk  bev.'!F53</f>
        <v>0</v>
      </c>
      <c r="G54" s="300">
        <f>'3.sz.m Önk  bev.'!G53</f>
        <v>4115</v>
      </c>
      <c r="H54" s="300">
        <f>'3.sz.m Önk  bev.'!H53</f>
        <v>10004115</v>
      </c>
      <c r="I54" s="300">
        <f>'3.sz.m Önk  bev.'!I53</f>
        <v>10004115</v>
      </c>
      <c r="J54" s="300">
        <f>'3.sz.m Önk  bev.'!J53</f>
        <v>10004115</v>
      </c>
      <c r="K54" s="300">
        <f>'3.sz.m Önk  bev.'!K53</f>
        <v>10004115</v>
      </c>
      <c r="L54" s="748">
        <f t="shared" si="3"/>
        <v>1</v>
      </c>
      <c r="M54" s="385">
        <f>'3.sz.m Önk  bev.'!M53</f>
        <v>0</v>
      </c>
      <c r="N54" s="300">
        <f>'3.sz.m Önk  bev.'!N53</f>
        <v>0</v>
      </c>
      <c r="O54" s="300">
        <f>'3.sz.m Önk  bev.'!O53</f>
        <v>4115</v>
      </c>
      <c r="P54" s="300">
        <f>'3.sz.m Önk  bev.'!P53</f>
        <v>10004115</v>
      </c>
      <c r="Q54" s="300">
        <f>'3.sz.m Önk  bev.'!Q53</f>
        <v>10004115</v>
      </c>
      <c r="R54" s="300">
        <f>'3.sz.m Önk  bev.'!R53</f>
        <v>10004115</v>
      </c>
      <c r="S54" s="300">
        <f>'3.sz.m Önk  bev.'!S53</f>
        <v>10004115</v>
      </c>
      <c r="T54" s="748">
        <f t="shared" si="4"/>
        <v>1</v>
      </c>
      <c r="U54" s="385">
        <v>0</v>
      </c>
      <c r="V54" s="300"/>
      <c r="W54" s="300"/>
      <c r="X54" s="300"/>
      <c r="Y54" s="300"/>
      <c r="Z54" s="300"/>
      <c r="AA54" s="300"/>
      <c r="AB54" s="748"/>
    </row>
    <row r="55" spans="1:28" ht="21.75" customHeight="1" thickBot="1">
      <c r="A55" s="111"/>
      <c r="B55" s="112" t="s">
        <v>339</v>
      </c>
      <c r="C55" s="1301" t="s">
        <v>341</v>
      </c>
      <c r="D55" s="1301"/>
      <c r="E55" s="383">
        <v>0</v>
      </c>
      <c r="F55" s="384">
        <v>0</v>
      </c>
      <c r="G55" s="384">
        <v>0</v>
      </c>
      <c r="H55" s="384">
        <v>0</v>
      </c>
      <c r="I55" s="384">
        <v>0</v>
      </c>
      <c r="J55" s="384">
        <v>0</v>
      </c>
      <c r="K55" s="384">
        <v>0</v>
      </c>
      <c r="L55" s="772"/>
      <c r="M55" s="383">
        <v>0</v>
      </c>
      <c r="N55" s="384">
        <v>0</v>
      </c>
      <c r="O55" s="384">
        <v>0</v>
      </c>
      <c r="P55" s="384"/>
      <c r="Q55" s="384"/>
      <c r="R55" s="384"/>
      <c r="S55" s="384"/>
      <c r="T55" s="772"/>
      <c r="U55" s="383">
        <v>0</v>
      </c>
      <c r="V55" s="384"/>
      <c r="W55" s="384"/>
      <c r="X55" s="384"/>
      <c r="Y55" s="384"/>
      <c r="Z55" s="384"/>
      <c r="AA55" s="384"/>
      <c r="AB55" s="772"/>
    </row>
    <row r="56" spans="1:28" ht="21.75" customHeight="1" thickBot="1">
      <c r="A56" s="114" t="s">
        <v>14</v>
      </c>
      <c r="B56" s="1309" t="s">
        <v>80</v>
      </c>
      <c r="C56" s="1309"/>
      <c r="D56" s="1309"/>
      <c r="E56" s="368">
        <f aca="true" t="shared" si="18" ref="E56:P56">E7+E21+E42+E50+E53+E33</f>
        <v>466508951</v>
      </c>
      <c r="F56" s="299">
        <f t="shared" si="18"/>
        <v>466508951</v>
      </c>
      <c r="G56" s="299">
        <f t="shared" si="18"/>
        <v>470255614</v>
      </c>
      <c r="H56" s="299">
        <f>H7+H21+H42+H50+H53+H33</f>
        <v>487127995</v>
      </c>
      <c r="I56" s="299">
        <f>I7+I21+I42+I50+I53+I33</f>
        <v>489083861</v>
      </c>
      <c r="J56" s="299">
        <f>J7+J21+J42+J50+J53+J33</f>
        <v>542783846</v>
      </c>
      <c r="K56" s="299">
        <f>K7+K21+K42+K50+K53+K33</f>
        <v>532467990</v>
      </c>
      <c r="L56" s="770">
        <f t="shared" si="3"/>
        <v>0.9809945412413766</v>
      </c>
      <c r="M56" s="368">
        <f t="shared" si="18"/>
        <v>445861158</v>
      </c>
      <c r="N56" s="299">
        <f t="shared" si="18"/>
        <v>445861158</v>
      </c>
      <c r="O56" s="299">
        <f t="shared" si="18"/>
        <v>449597821</v>
      </c>
      <c r="P56" s="299">
        <f t="shared" si="18"/>
        <v>464740202</v>
      </c>
      <c r="Q56" s="299">
        <f>Q7+Q21+Q42+Q50+Q53+Q33</f>
        <v>466696068</v>
      </c>
      <c r="R56" s="299">
        <f>R7+R21+R42+R50+R53+R33</f>
        <v>520183513</v>
      </c>
      <c r="S56" s="299">
        <f>S7+S21+S42+S50+S53+S33</f>
        <v>509867657</v>
      </c>
      <c r="T56" s="770">
        <f t="shared" si="4"/>
        <v>1.119299580198573</v>
      </c>
      <c r="U56" s="368">
        <f aca="true" t="shared" si="19" ref="U56:Z56">U7+U21+U42+U50+U53+U33</f>
        <v>20647793</v>
      </c>
      <c r="V56" s="299">
        <f t="shared" si="19"/>
        <v>20647793</v>
      </c>
      <c r="W56" s="299">
        <f t="shared" si="19"/>
        <v>20657793</v>
      </c>
      <c r="X56" s="299">
        <f t="shared" si="19"/>
        <v>22387793</v>
      </c>
      <c r="Y56" s="299">
        <f t="shared" si="19"/>
        <v>22387793</v>
      </c>
      <c r="Z56" s="299">
        <f t="shared" si="19"/>
        <v>22600333</v>
      </c>
      <c r="AA56" s="299">
        <f>AA7+AA21+AA42+AA50+AA53+AA33</f>
        <v>22600333</v>
      </c>
      <c r="AB56" s="770"/>
    </row>
    <row r="57" spans="1:28" ht="24" customHeight="1" thickBot="1">
      <c r="A57" s="110" t="s">
        <v>61</v>
      </c>
      <c r="B57" s="1300" t="s">
        <v>342</v>
      </c>
      <c r="C57" s="1300"/>
      <c r="D57" s="1300"/>
      <c r="E57" s="368">
        <f aca="true" t="shared" si="20" ref="E57:P57">SUM(E58:E60)</f>
        <v>150569128</v>
      </c>
      <c r="F57" s="299">
        <f t="shared" si="20"/>
        <v>150569128</v>
      </c>
      <c r="G57" s="299">
        <f t="shared" si="20"/>
        <v>146881965</v>
      </c>
      <c r="H57" s="299">
        <f>SUM(H58:H60)</f>
        <v>146881965</v>
      </c>
      <c r="I57" s="299">
        <f>SUM(I58:I60)</f>
        <v>146881965</v>
      </c>
      <c r="J57" s="299">
        <f>SUM(J58:J60)</f>
        <v>155004384</v>
      </c>
      <c r="K57" s="299">
        <f>SUM(K58:K60)</f>
        <v>155004384</v>
      </c>
      <c r="L57" s="770">
        <f t="shared" si="3"/>
        <v>1</v>
      </c>
      <c r="M57" s="368">
        <f t="shared" si="20"/>
        <v>150569128</v>
      </c>
      <c r="N57" s="299">
        <f t="shared" si="20"/>
        <v>150569128</v>
      </c>
      <c r="O57" s="299">
        <f t="shared" si="20"/>
        <v>146881965</v>
      </c>
      <c r="P57" s="299">
        <f t="shared" si="20"/>
        <v>146881965</v>
      </c>
      <c r="Q57" s="299">
        <f>SUM(Q58:Q60)</f>
        <v>146881965</v>
      </c>
      <c r="R57" s="299">
        <f>SUM(R58:R60)</f>
        <v>155004384</v>
      </c>
      <c r="S57" s="299">
        <f>SUM(S58:S60)</f>
        <v>155004384</v>
      </c>
      <c r="T57" s="770">
        <f t="shared" si="4"/>
        <v>1.055298953823228</v>
      </c>
      <c r="U57" s="368">
        <f aca="true" t="shared" si="21" ref="U57:Z57">SUM(U58:U60)</f>
        <v>0</v>
      </c>
      <c r="V57" s="299">
        <f t="shared" si="21"/>
        <v>0</v>
      </c>
      <c r="W57" s="299">
        <f t="shared" si="21"/>
        <v>0</v>
      </c>
      <c r="X57" s="299">
        <f t="shared" si="21"/>
        <v>0</v>
      </c>
      <c r="Y57" s="299">
        <f t="shared" si="21"/>
        <v>0</v>
      </c>
      <c r="Z57" s="299">
        <f t="shared" si="21"/>
        <v>0</v>
      </c>
      <c r="AA57" s="299">
        <f>SUM(AA58:AA60)</f>
        <v>0</v>
      </c>
      <c r="AB57" s="770"/>
    </row>
    <row r="58" spans="1:28" ht="21.75" customHeight="1">
      <c r="A58" s="108"/>
      <c r="B58" s="109" t="s">
        <v>49</v>
      </c>
      <c r="C58" s="1308" t="s">
        <v>343</v>
      </c>
      <c r="D58" s="1308"/>
      <c r="E58" s="382">
        <f>'3.sz.m Önk  bev.'!E57</f>
        <v>12000000</v>
      </c>
      <c r="F58" s="297">
        <f>'3.sz.m Önk  bev.'!F57</f>
        <v>12000000</v>
      </c>
      <c r="G58" s="297">
        <f>'3.sz.m Önk  bev.'!G57</f>
        <v>8315281</v>
      </c>
      <c r="H58" s="297">
        <f>'3.sz.m Önk  bev.'!H57</f>
        <v>8315281</v>
      </c>
      <c r="I58" s="297">
        <f>'3.sz.m Önk  bev.'!I57</f>
        <v>8315281</v>
      </c>
      <c r="J58" s="297">
        <f>'3.sz.m Önk  bev.'!J57</f>
        <v>8315281</v>
      </c>
      <c r="K58" s="297">
        <f>'3.sz.m Önk  bev.'!K57</f>
        <v>8315281</v>
      </c>
      <c r="L58" s="771">
        <f t="shared" si="3"/>
        <v>1</v>
      </c>
      <c r="M58" s="382">
        <f>'3.sz.m Önk  bev.'!M57</f>
        <v>12000000</v>
      </c>
      <c r="N58" s="297">
        <f>'3.sz.m Önk  bev.'!N57</f>
        <v>12000000</v>
      </c>
      <c r="O58" s="297">
        <f>'3.sz.m Önk  bev.'!O57</f>
        <v>8315281</v>
      </c>
      <c r="P58" s="297">
        <f>H58</f>
        <v>8315281</v>
      </c>
      <c r="Q58" s="297">
        <f>I58</f>
        <v>8315281</v>
      </c>
      <c r="R58" s="297">
        <f>J58</f>
        <v>8315281</v>
      </c>
      <c r="S58" s="297">
        <f>K58</f>
        <v>8315281</v>
      </c>
      <c r="T58" s="771">
        <f t="shared" si="4"/>
        <v>1</v>
      </c>
      <c r="U58" s="382">
        <v>0</v>
      </c>
      <c r="V58" s="297"/>
      <c r="W58" s="297"/>
      <c r="X58" s="297"/>
      <c r="Y58" s="297"/>
      <c r="Z58" s="297"/>
      <c r="AA58" s="297"/>
      <c r="AB58" s="771"/>
    </row>
    <row r="59" spans="1:28" ht="21.75" customHeight="1">
      <c r="A59" s="107"/>
      <c r="B59" s="104" t="s">
        <v>50</v>
      </c>
      <c r="C59" s="1308" t="s">
        <v>494</v>
      </c>
      <c r="D59" s="1308"/>
      <c r="E59" s="382">
        <f>'3.sz.m Önk  bev.'!E58</f>
        <v>0</v>
      </c>
      <c r="F59" s="297">
        <f>'3.sz.m Önk  bev.'!F58</f>
        <v>0</v>
      </c>
      <c r="G59" s="297">
        <f>'3.sz.m Önk  bev.'!G58</f>
        <v>0</v>
      </c>
      <c r="H59" s="297">
        <f>'3.sz.m Önk  bev.'!H58</f>
        <v>0</v>
      </c>
      <c r="I59" s="297">
        <f>'3.sz.m Önk  bev.'!I58</f>
        <v>0</v>
      </c>
      <c r="J59" s="297">
        <f>'3.sz.m Önk  bev.'!J58</f>
        <v>8122419</v>
      </c>
      <c r="K59" s="297">
        <f>'3.sz.m Önk  bev.'!K58</f>
        <v>8122419</v>
      </c>
      <c r="L59" s="773">
        <f t="shared" si="3"/>
        <v>1</v>
      </c>
      <c r="M59" s="382">
        <f>'3.sz.m Önk  bev.'!M58</f>
        <v>0</v>
      </c>
      <c r="N59" s="297">
        <f>'3.sz.m Önk  bev.'!N58</f>
        <v>0</v>
      </c>
      <c r="O59" s="297">
        <f>'3.sz.m Önk  bev.'!O58</f>
        <v>0</v>
      </c>
      <c r="P59" s="297">
        <f>'3.sz.m Önk  bev.'!P58</f>
        <v>0</v>
      </c>
      <c r="Q59" s="297">
        <f>'3.sz.m Önk  bev.'!Q58</f>
        <v>0</v>
      </c>
      <c r="R59" s="297">
        <f>'3.sz.m Önk  bev.'!R58</f>
        <v>8122419</v>
      </c>
      <c r="S59" s="297">
        <f>'3.sz.m Önk  bev.'!S58</f>
        <v>8122419</v>
      </c>
      <c r="T59" s="773"/>
      <c r="U59" s="382">
        <v>0</v>
      </c>
      <c r="V59" s="297"/>
      <c r="W59" s="297"/>
      <c r="X59" s="297"/>
      <c r="Y59" s="297"/>
      <c r="Z59" s="297"/>
      <c r="AA59" s="297"/>
      <c r="AB59" s="773"/>
    </row>
    <row r="60" spans="1:28" ht="21.75" customHeight="1" thickBot="1">
      <c r="A60" s="107"/>
      <c r="B60" s="104" t="s">
        <v>79</v>
      </c>
      <c r="C60" s="1308" t="s">
        <v>344</v>
      </c>
      <c r="D60" s="1308"/>
      <c r="E60" s="382">
        <f>'3.sz.m Önk  bev.'!E59+'5.1 sz. m Köz Hiv'!D26+'5.2 sz. m ÁMK'!D29</f>
        <v>138569128</v>
      </c>
      <c r="F60" s="297">
        <f>'3.sz.m Önk  bev.'!F59+'5.1 sz. m Köz Hiv'!E26+'5.2 sz. m ÁMK'!E29</f>
        <v>138569128</v>
      </c>
      <c r="G60" s="297">
        <f>'3.sz.m Önk  bev.'!G59+'5.1 sz. m Köz Hiv'!F26+'5.2 sz. m ÁMK'!F29</f>
        <v>138566684</v>
      </c>
      <c r="H60" s="297">
        <f>'3.sz.m Önk  bev.'!H59+'5.1 sz. m Köz Hiv'!G26+'5.2 sz. m ÁMK'!G29</f>
        <v>138566684</v>
      </c>
      <c r="I60" s="297">
        <f>'3.sz.m Önk  bev.'!I59+'5.1 sz. m Köz Hiv'!H26+'5.2 sz. m ÁMK'!H29</f>
        <v>138566684</v>
      </c>
      <c r="J60" s="297">
        <f>'3.sz.m Önk  bev.'!J59+'5.1 sz. m Köz Hiv'!I26+'5.2 sz. m ÁMK'!I29</f>
        <v>138566684</v>
      </c>
      <c r="K60" s="297">
        <f>'3.sz.m Önk  bev.'!K59+'5.1 sz. m Köz Hiv'!J26+'5.2 sz. m ÁMK'!J29</f>
        <v>138566684</v>
      </c>
      <c r="L60" s="773">
        <f t="shared" si="3"/>
        <v>1</v>
      </c>
      <c r="M60" s="382">
        <f>'3.sz.m Önk  bev.'!M59+'5.1 sz. m Köz Hiv'!L26+'5.2 sz. m ÁMK'!L29</f>
        <v>138569128</v>
      </c>
      <c r="N60" s="297">
        <f>'3.sz.m Önk  bev.'!N59+'5.1 sz. m Köz Hiv'!M26+'5.2 sz. m ÁMK'!M29</f>
        <v>138569128</v>
      </c>
      <c r="O60" s="297">
        <f>'3.sz.m Önk  bev.'!O59+'5.1 sz. m Köz Hiv'!N26+'5.2 sz. m ÁMK'!N29</f>
        <v>138566684</v>
      </c>
      <c r="P60" s="297">
        <f>'3.sz.m Önk  bev.'!P59+'5.1 sz. m Köz Hiv'!O26+'5.2 sz. m ÁMK'!O29</f>
        <v>138566684</v>
      </c>
      <c r="Q60" s="297">
        <f>'3.sz.m Önk  bev.'!Q59+'5.1 sz. m Köz Hiv'!P26+'5.2 sz. m ÁMK'!P29</f>
        <v>138566684</v>
      </c>
      <c r="R60" s="297">
        <f>'3.sz.m Önk  bev.'!R59+'5.1 sz. m Köz Hiv'!Q26+'5.2 sz. m ÁMK'!Q29</f>
        <v>138566684</v>
      </c>
      <c r="S60" s="297">
        <f>'3.sz.m Önk  bev.'!S59+'5.1 sz. m Köz Hiv'!R26+'5.2 sz. m ÁMK'!R29</f>
        <v>138566684</v>
      </c>
      <c r="T60" s="773">
        <f>R60/P60</f>
        <v>1</v>
      </c>
      <c r="U60" s="382">
        <v>0</v>
      </c>
      <c r="V60" s="297"/>
      <c r="W60" s="297"/>
      <c r="X60" s="297"/>
      <c r="Y60" s="297"/>
      <c r="Z60" s="297"/>
      <c r="AA60" s="297"/>
      <c r="AB60" s="773"/>
    </row>
    <row r="61" spans="1:28" ht="35.25" customHeight="1" thickBot="1">
      <c r="A61" s="114" t="s">
        <v>62</v>
      </c>
      <c r="B61" s="1307" t="s">
        <v>81</v>
      </c>
      <c r="C61" s="1307"/>
      <c r="D61" s="1307"/>
      <c r="E61" s="370">
        <f aca="true" t="shared" si="22" ref="E61:P61">E56+E57</f>
        <v>617078079</v>
      </c>
      <c r="F61" s="78">
        <f t="shared" si="22"/>
        <v>617078079</v>
      </c>
      <c r="G61" s="78">
        <f t="shared" si="22"/>
        <v>617137579</v>
      </c>
      <c r="H61" s="78">
        <f>H56+H57</f>
        <v>634009960</v>
      </c>
      <c r="I61" s="78">
        <f>I56+I57</f>
        <v>635965826</v>
      </c>
      <c r="J61" s="78">
        <f>J56+J57</f>
        <v>697788230</v>
      </c>
      <c r="K61" s="78">
        <f>K56+K57</f>
        <v>687472374</v>
      </c>
      <c r="L61" s="774">
        <f t="shared" si="3"/>
        <v>0.985216351385004</v>
      </c>
      <c r="M61" s="370">
        <f t="shared" si="22"/>
        <v>596430286</v>
      </c>
      <c r="N61" s="78">
        <f t="shared" si="22"/>
        <v>596430286</v>
      </c>
      <c r="O61" s="78">
        <f t="shared" si="22"/>
        <v>596479786</v>
      </c>
      <c r="P61" s="78">
        <f t="shared" si="22"/>
        <v>611622167</v>
      </c>
      <c r="Q61" s="78">
        <f>Q56+Q57</f>
        <v>613578033</v>
      </c>
      <c r="R61" s="78">
        <f>R56+R57</f>
        <v>675187897</v>
      </c>
      <c r="S61" s="78">
        <f>S56+S57</f>
        <v>664872041</v>
      </c>
      <c r="T61" s="774">
        <f t="shared" si="4"/>
        <v>1.1039297354309265</v>
      </c>
      <c r="U61" s="370">
        <f aca="true" t="shared" si="23" ref="U61:Z61">U56+U57</f>
        <v>20647793</v>
      </c>
      <c r="V61" s="78">
        <f t="shared" si="23"/>
        <v>20647793</v>
      </c>
      <c r="W61" s="78">
        <f t="shared" si="23"/>
        <v>20657793</v>
      </c>
      <c r="X61" s="78">
        <f t="shared" si="23"/>
        <v>22387793</v>
      </c>
      <c r="Y61" s="78">
        <f t="shared" si="23"/>
        <v>22387793</v>
      </c>
      <c r="Z61" s="78">
        <f t="shared" si="23"/>
        <v>22600333</v>
      </c>
      <c r="AA61" s="78">
        <f>AA56+AA57</f>
        <v>22600333</v>
      </c>
      <c r="AB61" s="774"/>
    </row>
    <row r="62" spans="1:28" ht="21.75" customHeight="1" hidden="1" thickBot="1">
      <c r="A62" s="1302" t="s">
        <v>258</v>
      </c>
      <c r="B62" s="1303"/>
      <c r="C62" s="1303"/>
      <c r="D62" s="1303"/>
      <c r="E62" s="578"/>
      <c r="F62" s="579"/>
      <c r="G62" s="579"/>
      <c r="H62" s="579"/>
      <c r="I62" s="579"/>
      <c r="J62" s="579"/>
      <c r="K62" s="579"/>
      <c r="L62" s="584" t="e">
        <f t="shared" si="3"/>
        <v>#DIV/0!</v>
      </c>
      <c r="M62" s="578"/>
      <c r="N62" s="579"/>
      <c r="O62" s="579"/>
      <c r="P62" s="579"/>
      <c r="Q62" s="579"/>
      <c r="R62" s="579"/>
      <c r="S62" s="1018"/>
      <c r="T62" s="584"/>
      <c r="U62" s="578"/>
      <c r="V62" s="579"/>
      <c r="W62" s="579"/>
      <c r="X62" s="579"/>
      <c r="Y62" s="579"/>
      <c r="Z62" s="579"/>
      <c r="AA62" s="579"/>
      <c r="AB62" s="584"/>
    </row>
    <row r="63" spans="1:28" ht="21.75" customHeight="1" thickBot="1">
      <c r="A63" s="1306" t="s">
        <v>7</v>
      </c>
      <c r="B63" s="1307"/>
      <c r="C63" s="1307"/>
      <c r="D63" s="1307"/>
      <c r="E63" s="420">
        <f aca="true" t="shared" si="24" ref="E63:P63">E61+E62</f>
        <v>617078079</v>
      </c>
      <c r="F63" s="421">
        <f t="shared" si="24"/>
        <v>617078079</v>
      </c>
      <c r="G63" s="421">
        <f t="shared" si="24"/>
        <v>617137579</v>
      </c>
      <c r="H63" s="421">
        <f>H61+H62</f>
        <v>634009960</v>
      </c>
      <c r="I63" s="421">
        <f>I61+I62</f>
        <v>635965826</v>
      </c>
      <c r="J63" s="421">
        <f>J61+J62</f>
        <v>697788230</v>
      </c>
      <c r="K63" s="421">
        <f>K61+K62</f>
        <v>687472374</v>
      </c>
      <c r="L63" s="422">
        <f t="shared" si="3"/>
        <v>0.985216351385004</v>
      </c>
      <c r="M63" s="420">
        <f t="shared" si="24"/>
        <v>596430286</v>
      </c>
      <c r="N63" s="421">
        <f t="shared" si="24"/>
        <v>596430286</v>
      </c>
      <c r="O63" s="421">
        <f t="shared" si="24"/>
        <v>596479786</v>
      </c>
      <c r="P63" s="421">
        <f t="shared" si="24"/>
        <v>611622167</v>
      </c>
      <c r="Q63" s="421">
        <f>Q61+Q62</f>
        <v>613578033</v>
      </c>
      <c r="R63" s="421">
        <f>R61+R62</f>
        <v>675187897</v>
      </c>
      <c r="S63" s="421">
        <f>S61+S62</f>
        <v>664872041</v>
      </c>
      <c r="T63" s="422">
        <f t="shared" si="4"/>
        <v>1.1039297354309265</v>
      </c>
      <c r="U63" s="420">
        <f aca="true" t="shared" si="25" ref="U63:Z63">U61+U62</f>
        <v>20647793</v>
      </c>
      <c r="V63" s="421">
        <f t="shared" si="25"/>
        <v>20647793</v>
      </c>
      <c r="W63" s="421">
        <f t="shared" si="25"/>
        <v>20657793</v>
      </c>
      <c r="X63" s="421">
        <f t="shared" si="25"/>
        <v>22387793</v>
      </c>
      <c r="Y63" s="421">
        <f t="shared" si="25"/>
        <v>22387793</v>
      </c>
      <c r="Z63" s="421">
        <f t="shared" si="25"/>
        <v>22600333</v>
      </c>
      <c r="AA63" s="421">
        <f>AA61+AA62</f>
        <v>22600333</v>
      </c>
      <c r="AB63" s="422"/>
    </row>
    <row r="64" spans="1:26" ht="21.75" customHeight="1">
      <c r="A64" s="581"/>
      <c r="B64" s="582"/>
      <c r="C64" s="582"/>
      <c r="D64" s="582"/>
      <c r="E64" s="583"/>
      <c r="F64" s="583"/>
      <c r="G64" s="583"/>
      <c r="H64" s="583"/>
      <c r="I64" s="583"/>
      <c r="J64" s="583"/>
      <c r="K64" s="583"/>
      <c r="L64" s="583"/>
      <c r="M64" s="583"/>
      <c r="N64" s="583"/>
      <c r="O64" s="583"/>
      <c r="P64" s="583"/>
      <c r="Q64" s="956"/>
      <c r="R64" s="583"/>
      <c r="S64" s="583"/>
      <c r="T64" s="583"/>
      <c r="U64" s="583"/>
      <c r="V64" s="583"/>
      <c r="W64" s="583"/>
      <c r="X64" s="583"/>
      <c r="Y64" s="583"/>
      <c r="Z64" s="583"/>
    </row>
    <row r="65" spans="1:24" ht="21.75" customHeight="1">
      <c r="A65" s="93"/>
      <c r="B65" s="140"/>
      <c r="C65" s="140"/>
      <c r="D65" s="140"/>
      <c r="E65" s="338"/>
      <c r="F65" s="338"/>
      <c r="G65" s="337"/>
      <c r="H65" s="337"/>
      <c r="I65" s="338"/>
      <c r="J65" s="337"/>
      <c r="K65" s="337"/>
      <c r="L65" s="337"/>
      <c r="M65" s="338"/>
      <c r="V65" s="338"/>
      <c r="W65" s="338"/>
      <c r="X65" s="338"/>
    </row>
    <row r="66" spans="1:24" ht="35.25" customHeight="1">
      <c r="A66" s="93"/>
      <c r="B66" s="140"/>
      <c r="C66" s="140"/>
      <c r="D66" s="140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V66" s="338"/>
      <c r="W66" s="338"/>
      <c r="X66" s="338"/>
    </row>
    <row r="67" spans="1:24" ht="35.25" customHeight="1">
      <c r="A67" s="93"/>
      <c r="B67" s="140"/>
      <c r="C67" s="140"/>
      <c r="D67" s="140"/>
      <c r="E67" s="338"/>
      <c r="F67" s="338"/>
      <c r="G67" s="338"/>
      <c r="H67" s="338"/>
      <c r="I67" s="338"/>
      <c r="J67" s="95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V67" s="338"/>
      <c r="W67" s="338"/>
      <c r="X67" s="338"/>
    </row>
    <row r="68" spans="5:24" ht="12.75"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V68" s="338"/>
      <c r="W68" s="338"/>
      <c r="X68" s="338"/>
    </row>
    <row r="69" spans="5:24" ht="12.75"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V69" s="338"/>
      <c r="W69" s="338"/>
      <c r="X69" s="338"/>
    </row>
    <row r="70" spans="5:24" ht="12.75"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V70" s="338"/>
      <c r="W70" s="338"/>
      <c r="X70" s="338"/>
    </row>
    <row r="71" spans="4:24" ht="12.75">
      <c r="D71" s="101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V71" s="338"/>
      <c r="W71" s="338"/>
      <c r="X71" s="338"/>
    </row>
    <row r="72" spans="4:24" ht="48.75" customHeight="1">
      <c r="D72" s="101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V72" s="338"/>
      <c r="W72" s="338"/>
      <c r="X72" s="338"/>
    </row>
    <row r="73" spans="4:24" ht="46.5" customHeight="1">
      <c r="D73" s="101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V73" s="338"/>
      <c r="W73" s="338"/>
      <c r="X73" s="338"/>
    </row>
    <row r="74" spans="5:24" ht="41.25" customHeight="1"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V74" s="338"/>
      <c r="W74" s="338"/>
      <c r="X74" s="338"/>
    </row>
    <row r="75" spans="5:24" ht="12.75"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V75" s="338"/>
      <c r="W75" s="338"/>
      <c r="X75" s="338"/>
    </row>
    <row r="76" spans="5:24" ht="12.75"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V76" s="338"/>
      <c r="W76" s="338"/>
      <c r="X76" s="338"/>
    </row>
    <row r="77" spans="5:24" ht="12.75"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V77" s="338"/>
      <c r="W77" s="338"/>
      <c r="X77" s="338"/>
    </row>
    <row r="78" spans="5:24" ht="12.75"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V78" s="338"/>
      <c r="W78" s="338"/>
      <c r="X78" s="338"/>
    </row>
    <row r="79" spans="5:24" ht="12.75"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V79" s="338"/>
      <c r="W79" s="338"/>
      <c r="X79" s="338"/>
    </row>
    <row r="80" spans="5:24" ht="12.75"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V80" s="338"/>
      <c r="W80" s="338"/>
      <c r="X80" s="338"/>
    </row>
    <row r="81" spans="5:24" ht="12.75"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V81" s="338"/>
      <c r="W81" s="338"/>
      <c r="X81" s="338"/>
    </row>
    <row r="82" spans="5:24" ht="12.75"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V82" s="338"/>
      <c r="W82" s="338"/>
      <c r="X82" s="338"/>
    </row>
    <row r="83" spans="5:24" ht="12.75"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V83" s="338"/>
      <c r="W83" s="338"/>
      <c r="X83" s="338"/>
    </row>
    <row r="84" spans="5:24" ht="12.75"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V84" s="338"/>
      <c r="W84" s="338"/>
      <c r="X84" s="338"/>
    </row>
    <row r="85" spans="5:24" ht="12.75"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V85" s="338"/>
      <c r="W85" s="338"/>
      <c r="X85" s="338"/>
    </row>
    <row r="86" spans="5:24" ht="12.75"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V86" s="338"/>
      <c r="W86" s="338"/>
      <c r="X86" s="338"/>
    </row>
    <row r="87" spans="5:24" ht="12.75"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V87" s="338"/>
      <c r="W87" s="338"/>
      <c r="X87" s="338"/>
    </row>
    <row r="88" spans="5:24" ht="12.75"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V88" s="338"/>
      <c r="W88" s="338"/>
      <c r="X88" s="338"/>
    </row>
    <row r="89" spans="5:24" ht="12.75"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V89" s="338"/>
      <c r="W89" s="338"/>
      <c r="X89" s="338"/>
    </row>
    <row r="90" spans="5:24" ht="12.75"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V90" s="338"/>
      <c r="W90" s="338"/>
      <c r="X90" s="338"/>
    </row>
    <row r="91" spans="5:24" ht="12.75"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V91" s="338"/>
      <c r="W91" s="338"/>
      <c r="X91" s="338"/>
    </row>
    <row r="92" spans="5:24" ht="12.75"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V92" s="338"/>
      <c r="W92" s="338"/>
      <c r="X92" s="338"/>
    </row>
    <row r="93" spans="5:24" ht="12.75"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V93" s="338"/>
      <c r="W93" s="338"/>
      <c r="X93" s="338"/>
    </row>
    <row r="94" spans="5:24" ht="12.75"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V94" s="338"/>
      <c r="W94" s="338"/>
      <c r="X94" s="338"/>
    </row>
    <row r="95" spans="5:24" ht="12.75"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V95" s="338"/>
      <c r="W95" s="338"/>
      <c r="X95" s="338"/>
    </row>
    <row r="96" spans="5:24" ht="12.75"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V96" s="338"/>
      <c r="W96" s="338"/>
      <c r="X96" s="338"/>
    </row>
    <row r="97" spans="5:24" ht="12.75"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V97" s="338"/>
      <c r="W97" s="338"/>
      <c r="X97" s="338"/>
    </row>
    <row r="98" spans="5:24" ht="12.75"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V98" s="338"/>
      <c r="W98" s="338"/>
      <c r="X98" s="338"/>
    </row>
    <row r="99" spans="5:24" ht="12.75"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V99" s="338"/>
      <c r="W99" s="338"/>
      <c r="X99" s="338"/>
    </row>
    <row r="100" spans="5:24" ht="12.75"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V100" s="338"/>
      <c r="W100" s="338"/>
      <c r="X100" s="338"/>
    </row>
    <row r="101" spans="5:24" ht="12.75"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V101" s="338"/>
      <c r="W101" s="338"/>
      <c r="X101" s="338"/>
    </row>
    <row r="102" spans="5:24" ht="12.75"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V102" s="338"/>
      <c r="W102" s="338"/>
      <c r="X102" s="338"/>
    </row>
    <row r="103" spans="5:24" ht="12.75"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V103" s="338"/>
      <c r="W103" s="338"/>
      <c r="X103" s="338"/>
    </row>
    <row r="104" spans="5:24" ht="12.75"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V104" s="338"/>
      <c r="W104" s="338"/>
      <c r="X104" s="338"/>
    </row>
    <row r="105" spans="5:24" ht="12.75"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V105" s="338"/>
      <c r="W105" s="338"/>
      <c r="X105" s="338"/>
    </row>
    <row r="106" spans="5:24" ht="12.75"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V106" s="338"/>
      <c r="W106" s="338"/>
      <c r="X106" s="338"/>
    </row>
    <row r="107" spans="5:24" ht="12.75"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V107" s="338"/>
      <c r="W107" s="338"/>
      <c r="X107" s="338"/>
    </row>
    <row r="108" spans="5:24" ht="12.75"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V108" s="338"/>
      <c r="W108" s="338"/>
      <c r="X108" s="338"/>
    </row>
    <row r="109" spans="5:24" ht="12.75"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V109" s="338"/>
      <c r="W109" s="338"/>
      <c r="X109" s="338"/>
    </row>
    <row r="110" spans="5:24" ht="12.75"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V110" s="338"/>
      <c r="W110" s="338"/>
      <c r="X110" s="338"/>
    </row>
    <row r="111" spans="5:24" ht="12.75"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V111" s="338"/>
      <c r="W111" s="338"/>
      <c r="X111" s="338"/>
    </row>
    <row r="112" spans="5:24" ht="12.75"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V112" s="338"/>
      <c r="W112" s="338"/>
      <c r="X112" s="338"/>
    </row>
  </sheetData>
  <sheetProtection/>
  <mergeCells count="46">
    <mergeCell ref="E4:L4"/>
    <mergeCell ref="U4:AB4"/>
    <mergeCell ref="C8:D8"/>
    <mergeCell ref="C29:D29"/>
    <mergeCell ref="A2:U2"/>
    <mergeCell ref="A4:C4"/>
    <mergeCell ref="B6:D6"/>
    <mergeCell ref="B7:D7"/>
    <mergeCell ref="M4:T4"/>
    <mergeCell ref="C13:D13"/>
    <mergeCell ref="C16:D16"/>
    <mergeCell ref="B21:D21"/>
    <mergeCell ref="C22:D22"/>
    <mergeCell ref="C23:D23"/>
    <mergeCell ref="C25:D25"/>
    <mergeCell ref="C17:D17"/>
    <mergeCell ref="C20:D20"/>
    <mergeCell ref="C24:D24"/>
    <mergeCell ref="C54:D54"/>
    <mergeCell ref="C55:D55"/>
    <mergeCell ref="C58:D58"/>
    <mergeCell ref="B33:D33"/>
    <mergeCell ref="B42:D42"/>
    <mergeCell ref="C43:D43"/>
    <mergeCell ref="C44:D44"/>
    <mergeCell ref="C37:D37"/>
    <mergeCell ref="C36:D36"/>
    <mergeCell ref="C38:D38"/>
    <mergeCell ref="A62:D62"/>
    <mergeCell ref="C49:D49"/>
    <mergeCell ref="B57:D57"/>
    <mergeCell ref="A63:D63"/>
    <mergeCell ref="B61:D61"/>
    <mergeCell ref="C60:D60"/>
    <mergeCell ref="C51:D51"/>
    <mergeCell ref="B56:D56"/>
    <mergeCell ref="C59:D59"/>
    <mergeCell ref="B53:D53"/>
    <mergeCell ref="C30:D30"/>
    <mergeCell ref="C31:D31"/>
    <mergeCell ref="C48:D48"/>
    <mergeCell ref="C34:D34"/>
    <mergeCell ref="C52:D52"/>
    <mergeCell ref="C35:D35"/>
    <mergeCell ref="B50:D50"/>
    <mergeCell ref="C32:D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5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workbookViewId="0" topLeftCell="A4">
      <selection activeCell="Q23" sqref="Q23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54" customWidth="1"/>
    <col min="5" max="5" width="12.7109375" style="654" hidden="1" customWidth="1"/>
    <col min="6" max="6" width="13.28125" style="654" hidden="1" customWidth="1"/>
    <col min="7" max="8" width="13.00390625" style="654" hidden="1" customWidth="1"/>
    <col min="9" max="10" width="15.57421875" style="654" customWidth="1"/>
    <col min="11" max="11" width="9.7109375" style="654" customWidth="1"/>
    <col min="12" max="12" width="14.140625" style="655" customWidth="1"/>
    <col min="13" max="13" width="12.7109375" style="655" hidden="1" customWidth="1"/>
    <col min="14" max="14" width="13.57421875" style="655" hidden="1" customWidth="1"/>
    <col min="15" max="15" width="12.8515625" style="655" hidden="1" customWidth="1"/>
    <col min="16" max="16" width="12.7109375" style="655" hidden="1" customWidth="1"/>
    <col min="17" max="17" width="17.7109375" style="655" customWidth="1"/>
    <col min="18" max="19" width="13.7109375" style="655" customWidth="1"/>
    <col min="20" max="20" width="13.00390625" style="655" customWidth="1"/>
    <col min="21" max="21" width="11.421875" style="655" hidden="1" customWidth="1"/>
    <col min="22" max="22" width="12.421875" style="9" hidden="1" customWidth="1"/>
    <col min="23" max="23" width="12.7109375" style="9" hidden="1" customWidth="1"/>
    <col min="24" max="24" width="11.8515625" style="9" hidden="1" customWidth="1"/>
    <col min="25" max="26" width="12.28125" style="9" customWidth="1"/>
    <col min="27" max="27" width="18.8515625" style="9" customWidth="1"/>
    <col min="28" max="16384" width="9.140625" style="9" customWidth="1"/>
  </cols>
  <sheetData>
    <row r="1" spans="4:26" ht="12.75">
      <c r="D1" s="649"/>
      <c r="E1" s="649"/>
      <c r="F1" s="649"/>
      <c r="G1" s="649"/>
      <c r="H1" s="649"/>
      <c r="I1" s="649"/>
      <c r="J1" s="649"/>
      <c r="K1" s="649"/>
      <c r="L1" s="1414" t="s">
        <v>1118</v>
      </c>
      <c r="M1" s="1414"/>
      <c r="N1" s="1414"/>
      <c r="O1" s="1414"/>
      <c r="P1" s="1414"/>
      <c r="Q1" s="1414"/>
      <c r="R1" s="1414"/>
      <c r="S1" s="1414"/>
      <c r="T1" s="1414"/>
      <c r="U1" s="1414"/>
      <c r="V1" s="1414"/>
      <c r="W1" s="1414"/>
      <c r="X1" s="1414"/>
      <c r="Y1" s="1414"/>
      <c r="Z1" s="1003"/>
    </row>
    <row r="2" spans="1:21" ht="16.5" customHeight="1">
      <c r="A2" s="1415" t="s">
        <v>392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15"/>
      <c r="U2" s="650"/>
    </row>
    <row r="3" spans="1:21" ht="15" customHeight="1">
      <c r="A3" s="1416" t="s">
        <v>522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416"/>
      <c r="S3" s="1416"/>
      <c r="T3" s="1416"/>
      <c r="U3" s="651"/>
    </row>
    <row r="4" spans="1:21" ht="15" customHeight="1">
      <c r="A4" s="1417" t="s">
        <v>393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  <c r="R4" s="1417"/>
      <c r="S4" s="1417"/>
      <c r="T4" s="1417"/>
      <c r="U4" s="652"/>
    </row>
    <row r="5" spans="2:26" ht="13.5" thickBot="1">
      <c r="B5" s="653"/>
      <c r="C5" s="653"/>
      <c r="T5" s="1423" t="s">
        <v>573</v>
      </c>
      <c r="U5" s="1423"/>
      <c r="V5" s="1423"/>
      <c r="W5" s="1423"/>
      <c r="X5" s="1423"/>
      <c r="Y5" s="1423"/>
      <c r="Z5" s="1059"/>
    </row>
    <row r="6" spans="1:28" s="658" customFormat="1" ht="41.25" customHeight="1" thickBot="1">
      <c r="A6" s="656" t="s">
        <v>6</v>
      </c>
      <c r="B6" s="1418" t="s">
        <v>4</v>
      </c>
      <c r="C6" s="1418"/>
      <c r="D6" s="1419" t="s">
        <v>5</v>
      </c>
      <c r="E6" s="1420"/>
      <c r="F6" s="1420"/>
      <c r="G6" s="1420"/>
      <c r="H6" s="1420"/>
      <c r="I6" s="1420"/>
      <c r="J6" s="1421"/>
      <c r="K6" s="1422"/>
      <c r="L6" s="1419" t="s">
        <v>394</v>
      </c>
      <c r="M6" s="1420"/>
      <c r="N6" s="1420"/>
      <c r="O6" s="1420"/>
      <c r="P6" s="1420"/>
      <c r="Q6" s="1420"/>
      <c r="R6" s="1421"/>
      <c r="S6" s="1422"/>
      <c r="T6" s="1419" t="s">
        <v>395</v>
      </c>
      <c r="U6" s="1420"/>
      <c r="V6" s="1420"/>
      <c r="W6" s="1420"/>
      <c r="X6" s="1420"/>
      <c r="Y6" s="1420"/>
      <c r="Z6" s="1421"/>
      <c r="AA6" s="1422"/>
      <c r="AB6" s="657"/>
    </row>
    <row r="7" spans="1:27" s="658" customFormat="1" ht="41.25" customHeight="1" thickBot="1">
      <c r="A7" s="659"/>
      <c r="B7" s="660"/>
      <c r="C7" s="660"/>
      <c r="D7" s="661" t="s">
        <v>69</v>
      </c>
      <c r="E7" s="662" t="s">
        <v>237</v>
      </c>
      <c r="F7" s="662" t="s">
        <v>240</v>
      </c>
      <c r="G7" s="662" t="s">
        <v>243</v>
      </c>
      <c r="H7" s="662" t="s">
        <v>259</v>
      </c>
      <c r="I7" s="662" t="s">
        <v>264</v>
      </c>
      <c r="J7" s="1053" t="s">
        <v>246</v>
      </c>
      <c r="K7" s="663" t="s">
        <v>372</v>
      </c>
      <c r="L7" s="661" t="s">
        <v>69</v>
      </c>
      <c r="M7" s="662" t="s">
        <v>237</v>
      </c>
      <c r="N7" s="662" t="s">
        <v>240</v>
      </c>
      <c r="O7" s="662" t="s">
        <v>243</v>
      </c>
      <c r="P7" s="662" t="s">
        <v>259</v>
      </c>
      <c r="Q7" s="662" t="s">
        <v>264</v>
      </c>
      <c r="R7" s="1053" t="s">
        <v>246</v>
      </c>
      <c r="S7" s="663" t="s">
        <v>372</v>
      </c>
      <c r="T7" s="661" t="s">
        <v>69</v>
      </c>
      <c r="U7" s="662" t="s">
        <v>237</v>
      </c>
      <c r="V7" s="662" t="s">
        <v>240</v>
      </c>
      <c r="W7" s="662" t="s">
        <v>243</v>
      </c>
      <c r="X7" s="662" t="s">
        <v>259</v>
      </c>
      <c r="Y7" s="662" t="s">
        <v>264</v>
      </c>
      <c r="Z7" s="1053" t="s">
        <v>246</v>
      </c>
      <c r="AA7" s="663" t="s">
        <v>372</v>
      </c>
    </row>
    <row r="8" spans="1:27" ht="27.75" customHeight="1">
      <c r="A8" s="59">
        <v>1</v>
      </c>
      <c r="B8" s="1413" t="s">
        <v>396</v>
      </c>
      <c r="C8" s="1413"/>
      <c r="D8" s="664">
        <v>2007200</v>
      </c>
      <c r="E8" s="665">
        <v>2007200</v>
      </c>
      <c r="F8" s="665">
        <v>2007200</v>
      </c>
      <c r="G8" s="665">
        <f>2007200-1000000</f>
        <v>1007200</v>
      </c>
      <c r="H8" s="665">
        <f>2007200-1000000</f>
        <v>1007200</v>
      </c>
      <c r="I8" s="665">
        <v>1014754</v>
      </c>
      <c r="J8" s="1054">
        <v>34975</v>
      </c>
      <c r="K8" s="666">
        <f>J8/I8</f>
        <v>0.034466481531484475</v>
      </c>
      <c r="L8" s="664">
        <v>2007200</v>
      </c>
      <c r="M8" s="665">
        <v>2007200</v>
      </c>
      <c r="N8" s="665">
        <v>2007200</v>
      </c>
      <c r="O8" s="665">
        <f>2007200-1000000</f>
        <v>1007200</v>
      </c>
      <c r="P8" s="665">
        <f>2007200-1000000</f>
        <v>1007200</v>
      </c>
      <c r="Q8" s="665">
        <v>1014754</v>
      </c>
      <c r="R8" s="1054">
        <v>34975</v>
      </c>
      <c r="S8" s="666">
        <f>R8/Q8</f>
        <v>0.034466481531484475</v>
      </c>
      <c r="T8" s="664"/>
      <c r="U8" s="665"/>
      <c r="V8" s="665"/>
      <c r="W8" s="665"/>
      <c r="X8" s="665"/>
      <c r="Y8" s="665"/>
      <c r="Z8" s="1054"/>
      <c r="AA8" s="666"/>
    </row>
    <row r="9" spans="1:27" ht="27.75" customHeight="1">
      <c r="A9" s="60">
        <v>2</v>
      </c>
      <c r="B9" s="1406" t="s">
        <v>397</v>
      </c>
      <c r="C9" s="1406"/>
      <c r="D9" s="668">
        <v>122133</v>
      </c>
      <c r="E9" s="669">
        <v>122133</v>
      </c>
      <c r="F9" s="669">
        <v>122133</v>
      </c>
      <c r="G9" s="669">
        <v>122133</v>
      </c>
      <c r="H9" s="669">
        <v>122133</v>
      </c>
      <c r="I9" s="669">
        <v>122133</v>
      </c>
      <c r="J9" s="1055"/>
      <c r="K9" s="670">
        <f aca="true" t="shared" si="0" ref="K9:K23">J9/I9</f>
        <v>0</v>
      </c>
      <c r="L9" s="668">
        <v>122133</v>
      </c>
      <c r="M9" s="669">
        <v>122133</v>
      </c>
      <c r="N9" s="669">
        <v>122133</v>
      </c>
      <c r="O9" s="669">
        <v>122133</v>
      </c>
      <c r="P9" s="669">
        <v>122133</v>
      </c>
      <c r="Q9" s="669">
        <v>122133</v>
      </c>
      <c r="R9" s="1055"/>
      <c r="S9" s="670">
        <f aca="true" t="shared" si="1" ref="S9:S23">R9/Q9</f>
        <v>0</v>
      </c>
      <c r="T9" s="668"/>
      <c r="U9" s="669"/>
      <c r="V9" s="669"/>
      <c r="W9" s="669"/>
      <c r="X9" s="669"/>
      <c r="Y9" s="669"/>
      <c r="Z9" s="1055"/>
      <c r="AA9" s="670"/>
    </row>
    <row r="10" spans="1:27" ht="27.75" customHeight="1">
      <c r="A10" s="60">
        <v>3</v>
      </c>
      <c r="B10" s="1406" t="s">
        <v>398</v>
      </c>
      <c r="C10" s="1406"/>
      <c r="D10" s="668">
        <v>2000000</v>
      </c>
      <c r="E10" s="669">
        <v>2000000</v>
      </c>
      <c r="F10" s="669">
        <v>2000000</v>
      </c>
      <c r="G10" s="669">
        <v>2000000</v>
      </c>
      <c r="H10" s="669">
        <f>2000000+1353762</f>
        <v>3353762</v>
      </c>
      <c r="I10" s="669">
        <f>2000000+1353762</f>
        <v>3353762</v>
      </c>
      <c r="J10" s="1055">
        <v>3629828</v>
      </c>
      <c r="K10" s="670">
        <f t="shared" si="0"/>
        <v>1.0823153223156563</v>
      </c>
      <c r="L10" s="668">
        <v>2000000</v>
      </c>
      <c r="M10" s="669">
        <v>2000000</v>
      </c>
      <c r="N10" s="669">
        <v>2000000</v>
      </c>
      <c r="O10" s="669">
        <v>2000000</v>
      </c>
      <c r="P10" s="669">
        <f>2000000+1353762</f>
        <v>3353762</v>
      </c>
      <c r="Q10" s="669">
        <f>2000000+1353762</f>
        <v>3353762</v>
      </c>
      <c r="R10" s="1055">
        <v>3629828</v>
      </c>
      <c r="S10" s="670">
        <f t="shared" si="1"/>
        <v>1.0823153223156563</v>
      </c>
      <c r="T10" s="668"/>
      <c r="U10" s="669"/>
      <c r="V10" s="669"/>
      <c r="W10" s="669"/>
      <c r="X10" s="669"/>
      <c r="Y10" s="669"/>
      <c r="Z10" s="1055"/>
      <c r="AA10" s="670"/>
    </row>
    <row r="11" spans="1:27" ht="27.75" customHeight="1">
      <c r="A11" s="60">
        <v>4</v>
      </c>
      <c r="B11" s="1406" t="s">
        <v>399</v>
      </c>
      <c r="C11" s="1406"/>
      <c r="D11" s="668">
        <v>1841724</v>
      </c>
      <c r="E11" s="669">
        <v>1841724</v>
      </c>
      <c r="F11" s="669">
        <v>1841724</v>
      </c>
      <c r="G11" s="669">
        <v>1841724</v>
      </c>
      <c r="H11" s="669">
        <v>1841724</v>
      </c>
      <c r="I11" s="669">
        <v>1841724</v>
      </c>
      <c r="J11" s="1055">
        <v>990045</v>
      </c>
      <c r="K11" s="670">
        <f t="shared" si="0"/>
        <v>0.5375642604429328</v>
      </c>
      <c r="L11" s="668"/>
      <c r="M11" s="669"/>
      <c r="N11" s="669"/>
      <c r="O11" s="669"/>
      <c r="P11" s="669"/>
      <c r="Q11" s="669"/>
      <c r="R11" s="1055"/>
      <c r="S11" s="670"/>
      <c r="T11" s="668">
        <v>1841724</v>
      </c>
      <c r="U11" s="669">
        <v>1841724</v>
      </c>
      <c r="V11" s="669">
        <v>1841724</v>
      </c>
      <c r="W11" s="669">
        <v>1841724</v>
      </c>
      <c r="X11" s="669">
        <v>1841724</v>
      </c>
      <c r="Y11" s="669">
        <v>1841724</v>
      </c>
      <c r="Z11" s="1055">
        <v>990045</v>
      </c>
      <c r="AA11" s="670">
        <f>Z11/Y11</f>
        <v>0.5375642604429328</v>
      </c>
    </row>
    <row r="12" spans="1:27" ht="27.75" customHeight="1">
      <c r="A12" s="60">
        <v>5</v>
      </c>
      <c r="B12" s="1406" t="s">
        <v>400</v>
      </c>
      <c r="C12" s="1406"/>
      <c r="D12" s="668">
        <v>4567397</v>
      </c>
      <c r="E12" s="669">
        <v>4567397</v>
      </c>
      <c r="F12" s="669">
        <v>4567397</v>
      </c>
      <c r="G12" s="669">
        <v>4567397</v>
      </c>
      <c r="H12" s="669">
        <v>4567397</v>
      </c>
      <c r="I12" s="669">
        <v>4898439</v>
      </c>
      <c r="J12" s="1055">
        <v>5007379</v>
      </c>
      <c r="K12" s="670">
        <f t="shared" si="0"/>
        <v>1.0222397380063322</v>
      </c>
      <c r="L12" s="668">
        <v>4567397</v>
      </c>
      <c r="M12" s="669">
        <v>4567397</v>
      </c>
      <c r="N12" s="669">
        <v>4567397</v>
      </c>
      <c r="O12" s="669">
        <v>4567397</v>
      </c>
      <c r="P12" s="669">
        <v>4567397</v>
      </c>
      <c r="Q12" s="669">
        <v>4898439</v>
      </c>
      <c r="R12" s="1055">
        <v>5007379</v>
      </c>
      <c r="S12" s="670">
        <f t="shared" si="1"/>
        <v>1.0222397380063322</v>
      </c>
      <c r="T12" s="668"/>
      <c r="U12" s="669"/>
      <c r="V12" s="669"/>
      <c r="W12" s="669"/>
      <c r="X12" s="669"/>
      <c r="Y12" s="669"/>
      <c r="Z12" s="1055"/>
      <c r="AA12" s="670"/>
    </row>
    <row r="13" spans="1:27" ht="27.75" customHeight="1">
      <c r="A13" s="60">
        <v>6</v>
      </c>
      <c r="B13" s="1406" t="s">
        <v>401</v>
      </c>
      <c r="C13" s="1406"/>
      <c r="D13" s="668">
        <v>47701306</v>
      </c>
      <c r="E13" s="669">
        <v>47701306</v>
      </c>
      <c r="F13" s="669">
        <f>47701306-204540</f>
        <v>47496766</v>
      </c>
      <c r="G13" s="669">
        <f>47701306-204540+2354314</f>
        <v>49851080</v>
      </c>
      <c r="H13" s="669">
        <f>47701306-204540+2354314+680719</f>
        <v>50531799</v>
      </c>
      <c r="I13" s="669">
        <v>128480390</v>
      </c>
      <c r="J13" s="1055">
        <v>30749142</v>
      </c>
      <c r="K13" s="670">
        <f t="shared" si="0"/>
        <v>0.23932945720354679</v>
      </c>
      <c r="L13" s="668">
        <v>47701306</v>
      </c>
      <c r="M13" s="669">
        <v>47701306</v>
      </c>
      <c r="N13" s="669">
        <f>47701306-204540</f>
        <v>47496766</v>
      </c>
      <c r="O13" s="669">
        <f>47701306-204540+2354314</f>
        <v>49851080</v>
      </c>
      <c r="P13" s="669">
        <f>47701306-204540+2354314+680719</f>
        <v>50531799</v>
      </c>
      <c r="Q13" s="669">
        <v>128480390</v>
      </c>
      <c r="R13" s="1055">
        <v>30749142</v>
      </c>
      <c r="S13" s="670">
        <f t="shared" si="1"/>
        <v>0.23932945720354679</v>
      </c>
      <c r="T13" s="668"/>
      <c r="U13" s="669"/>
      <c r="V13" s="669"/>
      <c r="W13" s="669"/>
      <c r="X13" s="669"/>
      <c r="Y13" s="669"/>
      <c r="Z13" s="1055"/>
      <c r="AA13" s="670"/>
    </row>
    <row r="14" spans="1:27" ht="27.75" customHeight="1">
      <c r="A14" s="60">
        <v>7</v>
      </c>
      <c r="B14" s="667" t="s">
        <v>402</v>
      </c>
      <c r="C14" s="667"/>
      <c r="D14" s="668">
        <v>268100</v>
      </c>
      <c r="E14" s="669">
        <v>268100</v>
      </c>
      <c r="F14" s="669">
        <v>268100</v>
      </c>
      <c r="G14" s="669">
        <v>268100</v>
      </c>
      <c r="H14" s="669">
        <v>268100</v>
      </c>
      <c r="I14" s="669">
        <v>268100</v>
      </c>
      <c r="J14" s="1055"/>
      <c r="K14" s="670">
        <f t="shared" si="0"/>
        <v>0</v>
      </c>
      <c r="L14" s="668">
        <v>268100</v>
      </c>
      <c r="M14" s="669">
        <v>268100</v>
      </c>
      <c r="N14" s="669">
        <v>268100</v>
      </c>
      <c r="O14" s="669">
        <v>268100</v>
      </c>
      <c r="P14" s="669">
        <v>268100</v>
      </c>
      <c r="Q14" s="669">
        <v>268100</v>
      </c>
      <c r="R14" s="1055"/>
      <c r="S14" s="670">
        <f t="shared" si="1"/>
        <v>0</v>
      </c>
      <c r="T14" s="668"/>
      <c r="U14" s="669"/>
      <c r="V14" s="669"/>
      <c r="W14" s="669"/>
      <c r="X14" s="669"/>
      <c r="Y14" s="669"/>
      <c r="Z14" s="1055"/>
      <c r="AA14" s="670"/>
    </row>
    <row r="15" spans="1:27" ht="27.75" customHeight="1">
      <c r="A15" s="60">
        <v>8</v>
      </c>
      <c r="B15" s="1406" t="s">
        <v>403</v>
      </c>
      <c r="C15" s="1406"/>
      <c r="D15" s="668">
        <v>2518068</v>
      </c>
      <c r="E15" s="669">
        <v>2518068</v>
      </c>
      <c r="F15" s="669">
        <v>2518068</v>
      </c>
      <c r="G15" s="669">
        <f>2518068+40000</f>
        <v>2558068</v>
      </c>
      <c r="H15" s="669">
        <f>2518068+40000</f>
        <v>2558068</v>
      </c>
      <c r="I15" s="669">
        <f>2518068+40000</f>
        <v>2558068</v>
      </c>
      <c r="J15" s="1055">
        <v>1789071</v>
      </c>
      <c r="K15" s="670">
        <f t="shared" si="0"/>
        <v>0.6993836754925983</v>
      </c>
      <c r="L15" s="668">
        <v>2518068</v>
      </c>
      <c r="M15" s="669">
        <v>2518068</v>
      </c>
      <c r="N15" s="669">
        <v>2518068</v>
      </c>
      <c r="O15" s="669">
        <f>2518068+40000</f>
        <v>2558068</v>
      </c>
      <c r="P15" s="669">
        <f>2518068+40000</f>
        <v>2558068</v>
      </c>
      <c r="Q15" s="669">
        <f>2518068+40000</f>
        <v>2558068</v>
      </c>
      <c r="R15" s="1055">
        <v>1789071</v>
      </c>
      <c r="S15" s="670">
        <f t="shared" si="1"/>
        <v>0.6993836754925983</v>
      </c>
      <c r="T15" s="668"/>
      <c r="U15" s="669"/>
      <c r="V15" s="669"/>
      <c r="W15" s="669"/>
      <c r="X15" s="669"/>
      <c r="Y15" s="669"/>
      <c r="Z15" s="1055"/>
      <c r="AA15" s="670"/>
    </row>
    <row r="16" spans="1:27" ht="27.75" customHeight="1">
      <c r="A16" s="60">
        <v>9</v>
      </c>
      <c r="B16" s="1406" t="s">
        <v>404</v>
      </c>
      <c r="C16" s="1406"/>
      <c r="D16" s="668">
        <v>198466</v>
      </c>
      <c r="E16" s="669">
        <v>198466</v>
      </c>
      <c r="F16" s="669">
        <v>198466</v>
      </c>
      <c r="G16" s="669">
        <v>198466</v>
      </c>
      <c r="H16" s="669">
        <v>198466</v>
      </c>
      <c r="I16" s="669">
        <v>198466</v>
      </c>
      <c r="J16" s="1055">
        <v>198000</v>
      </c>
      <c r="K16" s="670">
        <f t="shared" si="0"/>
        <v>0.9976519907691997</v>
      </c>
      <c r="L16" s="668">
        <v>198466</v>
      </c>
      <c r="M16" s="669">
        <v>198466</v>
      </c>
      <c r="N16" s="669">
        <v>198466</v>
      </c>
      <c r="O16" s="669">
        <v>198466</v>
      </c>
      <c r="P16" s="669">
        <v>198466</v>
      </c>
      <c r="Q16" s="669">
        <v>198466</v>
      </c>
      <c r="R16" s="1055">
        <v>198000</v>
      </c>
      <c r="S16" s="670">
        <f t="shared" si="1"/>
        <v>0.9976519907691997</v>
      </c>
      <c r="T16" s="668"/>
      <c r="U16" s="669"/>
      <c r="V16" s="669"/>
      <c r="W16" s="669"/>
      <c r="X16" s="669"/>
      <c r="Y16" s="669"/>
      <c r="Z16" s="1055"/>
      <c r="AA16" s="670"/>
    </row>
    <row r="17" spans="1:27" ht="36" customHeight="1" hidden="1">
      <c r="A17" s="60">
        <v>10</v>
      </c>
      <c r="B17" s="1407" t="s">
        <v>405</v>
      </c>
      <c r="C17" s="1408"/>
      <c r="D17" s="668"/>
      <c r="E17" s="669"/>
      <c r="F17" s="669"/>
      <c r="G17" s="669"/>
      <c r="H17" s="669"/>
      <c r="I17" s="669"/>
      <c r="J17" s="1055"/>
      <c r="K17" s="670" t="e">
        <f t="shared" si="0"/>
        <v>#DIV/0!</v>
      </c>
      <c r="L17" s="668"/>
      <c r="M17" s="669"/>
      <c r="N17" s="669"/>
      <c r="O17" s="669"/>
      <c r="P17" s="669"/>
      <c r="Q17" s="669"/>
      <c r="R17" s="1055"/>
      <c r="S17" s="670" t="e">
        <f t="shared" si="1"/>
        <v>#DIV/0!</v>
      </c>
      <c r="T17" s="668"/>
      <c r="U17" s="669"/>
      <c r="V17" s="669"/>
      <c r="W17" s="669"/>
      <c r="X17" s="669"/>
      <c r="Y17" s="669"/>
      <c r="Z17" s="1055"/>
      <c r="AA17" s="670"/>
    </row>
    <row r="18" spans="1:27" ht="27.75" customHeight="1">
      <c r="A18" s="60">
        <v>10</v>
      </c>
      <c r="B18" s="1409" t="s">
        <v>406</v>
      </c>
      <c r="C18" s="1409"/>
      <c r="D18" s="671">
        <v>1206500</v>
      </c>
      <c r="E18" s="672">
        <v>1206500</v>
      </c>
      <c r="F18" s="672">
        <v>1206500</v>
      </c>
      <c r="G18" s="672">
        <v>1206500</v>
      </c>
      <c r="H18" s="672">
        <v>1206500</v>
      </c>
      <c r="I18" s="672">
        <v>1206500</v>
      </c>
      <c r="J18" s="1056">
        <v>273261</v>
      </c>
      <c r="K18" s="670">
        <f t="shared" si="0"/>
        <v>0.2264906755076668</v>
      </c>
      <c r="L18" s="671">
        <v>1206500</v>
      </c>
      <c r="M18" s="672">
        <v>1206500</v>
      </c>
      <c r="N18" s="672">
        <v>1206500</v>
      </c>
      <c r="O18" s="672">
        <v>1206500</v>
      </c>
      <c r="P18" s="672">
        <v>1206500</v>
      </c>
      <c r="Q18" s="672">
        <v>1206500</v>
      </c>
      <c r="R18" s="1056">
        <v>273261</v>
      </c>
      <c r="S18" s="670">
        <f t="shared" si="1"/>
        <v>0.2264906755076668</v>
      </c>
      <c r="T18" s="671"/>
      <c r="U18" s="672"/>
      <c r="V18" s="672"/>
      <c r="W18" s="672"/>
      <c r="X18" s="672"/>
      <c r="Y18" s="672"/>
      <c r="Z18" s="1056"/>
      <c r="AA18" s="670"/>
    </row>
    <row r="19" spans="1:27" ht="27.75" customHeight="1">
      <c r="A19" s="60">
        <v>11</v>
      </c>
      <c r="B19" s="1410" t="s">
        <v>572</v>
      </c>
      <c r="C19" s="1409"/>
      <c r="D19" s="671"/>
      <c r="E19" s="672"/>
      <c r="F19" s="672"/>
      <c r="G19" s="672">
        <v>76342</v>
      </c>
      <c r="H19" s="672">
        <v>76342</v>
      </c>
      <c r="I19" s="672">
        <v>106278</v>
      </c>
      <c r="J19" s="1056">
        <v>106278</v>
      </c>
      <c r="K19" s="670">
        <f t="shared" si="0"/>
        <v>1</v>
      </c>
      <c r="L19" s="671"/>
      <c r="M19" s="672"/>
      <c r="N19" s="672"/>
      <c r="O19" s="672">
        <v>76342</v>
      </c>
      <c r="P19" s="672">
        <v>76342</v>
      </c>
      <c r="Q19" s="672">
        <v>106278</v>
      </c>
      <c r="R19" s="1056">
        <v>106278</v>
      </c>
      <c r="S19" s="670">
        <f t="shared" si="1"/>
        <v>1</v>
      </c>
      <c r="T19" s="671"/>
      <c r="U19" s="672"/>
      <c r="V19" s="672"/>
      <c r="W19" s="672"/>
      <c r="X19" s="672"/>
      <c r="Y19" s="672"/>
      <c r="Z19" s="1056"/>
      <c r="AA19" s="670"/>
    </row>
    <row r="20" spans="1:27" ht="27.75" customHeight="1" thickBot="1">
      <c r="A20" s="673">
        <v>12</v>
      </c>
      <c r="B20" s="1411" t="s">
        <v>429</v>
      </c>
      <c r="C20" s="1412"/>
      <c r="D20" s="674"/>
      <c r="E20" s="675"/>
      <c r="F20" s="675"/>
      <c r="G20" s="675"/>
      <c r="H20" s="675"/>
      <c r="I20" s="675">
        <v>494948</v>
      </c>
      <c r="J20" s="1057">
        <v>494948</v>
      </c>
      <c r="K20" s="811">
        <f t="shared" si="0"/>
        <v>1</v>
      </c>
      <c r="L20" s="674"/>
      <c r="M20" s="675"/>
      <c r="N20" s="675"/>
      <c r="O20" s="675"/>
      <c r="P20" s="675"/>
      <c r="Q20" s="675">
        <v>494948</v>
      </c>
      <c r="R20" s="1057">
        <v>494948</v>
      </c>
      <c r="S20" s="811">
        <f t="shared" si="1"/>
        <v>1</v>
      </c>
      <c r="T20" s="674"/>
      <c r="U20" s="675"/>
      <c r="V20" s="675"/>
      <c r="W20" s="675"/>
      <c r="X20" s="675"/>
      <c r="Y20" s="675"/>
      <c r="Z20" s="1057"/>
      <c r="AA20" s="811"/>
    </row>
    <row r="21" spans="1:27" ht="27.75" customHeight="1" thickBot="1">
      <c r="A21" s="673">
        <v>13</v>
      </c>
      <c r="B21" s="1411" t="s">
        <v>604</v>
      </c>
      <c r="C21" s="1412"/>
      <c r="D21" s="674"/>
      <c r="E21" s="675"/>
      <c r="F21" s="675"/>
      <c r="G21" s="675"/>
      <c r="H21" s="675"/>
      <c r="I21" s="675"/>
      <c r="J21" s="1057">
        <v>77499</v>
      </c>
      <c r="K21" s="811"/>
      <c r="L21" s="674"/>
      <c r="M21" s="675"/>
      <c r="N21" s="675"/>
      <c r="O21" s="675"/>
      <c r="P21" s="675"/>
      <c r="Q21" s="675"/>
      <c r="R21" s="1057">
        <v>77499</v>
      </c>
      <c r="S21" s="811"/>
      <c r="T21" s="674"/>
      <c r="U21" s="675"/>
      <c r="V21" s="675"/>
      <c r="W21" s="675"/>
      <c r="X21" s="675"/>
      <c r="Y21" s="675"/>
      <c r="Z21" s="1057"/>
      <c r="AA21" s="811"/>
    </row>
    <row r="22" spans="1:27" ht="27.75" customHeight="1" thickBot="1">
      <c r="A22" s="673">
        <v>14</v>
      </c>
      <c r="B22" s="1411" t="s">
        <v>603</v>
      </c>
      <c r="C22" s="1412"/>
      <c r="D22" s="674"/>
      <c r="E22" s="675"/>
      <c r="F22" s="675"/>
      <c r="G22" s="675"/>
      <c r="H22" s="675"/>
      <c r="I22" s="675"/>
      <c r="J22" s="1057">
        <v>22990</v>
      </c>
      <c r="K22" s="811"/>
      <c r="L22" s="674"/>
      <c r="M22" s="675"/>
      <c r="N22" s="675"/>
      <c r="O22" s="675"/>
      <c r="P22" s="675"/>
      <c r="Q22" s="675"/>
      <c r="R22" s="1057">
        <v>22990</v>
      </c>
      <c r="S22" s="811"/>
      <c r="T22" s="674"/>
      <c r="U22" s="675"/>
      <c r="V22" s="675"/>
      <c r="W22" s="675"/>
      <c r="X22" s="675"/>
      <c r="Y22" s="675"/>
      <c r="Z22" s="1057"/>
      <c r="AA22" s="811"/>
    </row>
    <row r="23" spans="1:27" ht="32.25" customHeight="1" thickBot="1">
      <c r="A23" s="676"/>
      <c r="B23" s="1405" t="s">
        <v>407</v>
      </c>
      <c r="C23" s="1405"/>
      <c r="D23" s="677">
        <f>SUM(D8:D18)</f>
        <v>62430894</v>
      </c>
      <c r="E23" s="678">
        <f>SUM(E8:E18)</f>
        <v>62430894</v>
      </c>
      <c r="F23" s="678">
        <f>SUM(F8:F18)</f>
        <v>62226354</v>
      </c>
      <c r="G23" s="678">
        <f>SUM(G8:G19)</f>
        <v>63697010</v>
      </c>
      <c r="H23" s="678">
        <f>SUM(H8:H19)</f>
        <v>65731491</v>
      </c>
      <c r="I23" s="678">
        <f>SUM(I8:I20)</f>
        <v>144543562</v>
      </c>
      <c r="J23" s="1058">
        <f>SUM(J8:J22)</f>
        <v>43373416</v>
      </c>
      <c r="K23" s="1060">
        <f t="shared" si="0"/>
        <v>0.30007158672345435</v>
      </c>
      <c r="L23" s="677">
        <f>SUM(L8:L18)</f>
        <v>60589170</v>
      </c>
      <c r="M23" s="678">
        <f>SUM(M8:M18)</f>
        <v>60589170</v>
      </c>
      <c r="N23" s="678">
        <f>SUM(N8:N18)</f>
        <v>60384630</v>
      </c>
      <c r="O23" s="678">
        <f>SUM(O8:O19)</f>
        <v>61855286</v>
      </c>
      <c r="P23" s="678">
        <f>SUM(P8:P19)</f>
        <v>63889767</v>
      </c>
      <c r="Q23" s="678">
        <f>SUM(Q8:Q20)</f>
        <v>142701838</v>
      </c>
      <c r="R23" s="1058">
        <f>SUM(R8:R22)</f>
        <v>42383371</v>
      </c>
      <c r="S23" s="1060">
        <f t="shared" si="1"/>
        <v>0.297006482845722</v>
      </c>
      <c r="T23" s="677">
        <f aca="true" t="shared" si="2" ref="T23:Z23">SUM(T8:T18)</f>
        <v>1841724</v>
      </c>
      <c r="U23" s="678">
        <f t="shared" si="2"/>
        <v>1841724</v>
      </c>
      <c r="V23" s="678">
        <f t="shared" si="2"/>
        <v>1841724</v>
      </c>
      <c r="W23" s="678">
        <f t="shared" si="2"/>
        <v>1841724</v>
      </c>
      <c r="X23" s="678">
        <f t="shared" si="2"/>
        <v>1841724</v>
      </c>
      <c r="Y23" s="678">
        <f t="shared" si="2"/>
        <v>1841724</v>
      </c>
      <c r="Z23" s="678">
        <f t="shared" si="2"/>
        <v>990045</v>
      </c>
      <c r="AA23" s="1060">
        <f>Z23/Y23</f>
        <v>0.5375642604429328</v>
      </c>
    </row>
    <row r="25" spans="4:21" ht="12.75">
      <c r="D25" s="9"/>
      <c r="E25" s="9"/>
      <c r="F25" s="9"/>
      <c r="G25" s="9"/>
      <c r="H25" s="9"/>
      <c r="I25" s="655"/>
      <c r="J25" s="655"/>
      <c r="K25" s="9"/>
      <c r="L25" s="9"/>
      <c r="M25" s="9"/>
      <c r="T25" s="9"/>
      <c r="U25" s="9"/>
    </row>
    <row r="26" spans="4:21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4:21" ht="12.75">
      <c r="D27" s="9"/>
      <c r="E27" s="9"/>
      <c r="F27" s="9"/>
      <c r="G27" s="9"/>
      <c r="H27" s="655"/>
      <c r="I27" s="655"/>
      <c r="J27" s="65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4:21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4:21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4:21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4:21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4:21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4:21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4:21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4:21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4:21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4:21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4:21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4:21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4:21" ht="12.7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</sheetData>
  <sheetProtection/>
  <mergeCells count="24">
    <mergeCell ref="L1:Y1"/>
    <mergeCell ref="A2:T2"/>
    <mergeCell ref="A3:T3"/>
    <mergeCell ref="A4:T4"/>
    <mergeCell ref="B6:C6"/>
    <mergeCell ref="D6:K6"/>
    <mergeCell ref="L6:S6"/>
    <mergeCell ref="T6:AA6"/>
    <mergeCell ref="T5:Y5"/>
    <mergeCell ref="B8:C8"/>
    <mergeCell ref="B9:C9"/>
    <mergeCell ref="B10:C10"/>
    <mergeCell ref="B11:C11"/>
    <mergeCell ref="B12:C12"/>
    <mergeCell ref="B13:C13"/>
    <mergeCell ref="B23:C23"/>
    <mergeCell ref="B15:C15"/>
    <mergeCell ref="B16:C16"/>
    <mergeCell ref="B17:C17"/>
    <mergeCell ref="B18:C18"/>
    <mergeCell ref="B19:C19"/>
    <mergeCell ref="B20:C20"/>
    <mergeCell ref="B22:C22"/>
    <mergeCell ref="B21:C2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zoomScale="75" zoomScaleNormal="75" workbookViewId="0" topLeftCell="A10">
      <selection activeCell="R46" sqref="R46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57421875" style="31" customWidth="1"/>
    <col min="4" max="6" width="17.00390625" style="31" hidden="1" customWidth="1"/>
    <col min="7" max="7" width="18.00390625" style="31" hidden="1" customWidth="1"/>
    <col min="8" max="9" width="19.421875" style="31" customWidth="1"/>
    <col min="10" max="10" width="17.8515625" style="31" customWidth="1"/>
    <col min="11" max="11" width="21.00390625" style="31" customWidth="1"/>
    <col min="12" max="14" width="17.00390625" style="31" hidden="1" customWidth="1"/>
    <col min="15" max="15" width="21.421875" style="31" hidden="1" customWidth="1"/>
    <col min="16" max="17" width="17.28125" style="31" customWidth="1"/>
    <col min="18" max="18" width="14.00390625" style="31" customWidth="1"/>
    <col min="19" max="19" width="22.57421875" style="31" customWidth="1"/>
    <col min="20" max="20" width="14.28125" style="13" hidden="1" customWidth="1"/>
    <col min="21" max="21" width="17.421875" style="13" hidden="1" customWidth="1"/>
    <col min="22" max="22" width="18.28125" style="13" hidden="1" customWidth="1"/>
    <col min="23" max="23" width="18.421875" style="13" hidden="1" customWidth="1"/>
    <col min="24" max="25" width="14.421875" style="13" customWidth="1"/>
    <col min="26" max="26" width="16.140625" style="13" customWidth="1"/>
    <col min="27" max="27" width="17.7109375" style="13" customWidth="1"/>
    <col min="28" max="28" width="9.140625" style="13" customWidth="1"/>
    <col min="29" max="29" width="13.28125" style="13" bestFit="1" customWidth="1"/>
    <col min="30" max="30" width="15.57421875" style="13" bestFit="1" customWidth="1"/>
    <col min="31" max="16384" width="9.140625" style="13" customWidth="1"/>
  </cols>
  <sheetData>
    <row r="1" spans="11:19" ht="24.75" customHeight="1">
      <c r="K1" s="1443" t="s">
        <v>370</v>
      </c>
      <c r="L1" s="1443"/>
      <c r="M1" s="1443"/>
      <c r="N1" s="1443"/>
      <c r="O1" s="1443"/>
      <c r="P1" s="1443"/>
      <c r="Q1" s="1443"/>
      <c r="R1" s="1443"/>
      <c r="S1" s="1443"/>
    </row>
    <row r="2" spans="1:19" ht="37.5" customHeight="1">
      <c r="A2" s="1444" t="s">
        <v>408</v>
      </c>
      <c r="B2" s="1444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  <c r="Q2" s="1445"/>
      <c r="R2" s="1445"/>
      <c r="S2" s="1445"/>
    </row>
    <row r="3" spans="1:19" ht="18.75" customHeight="1">
      <c r="A3" s="1446" t="s">
        <v>522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</row>
    <row r="4" spans="1:19" ht="15.75">
      <c r="A4" s="1447" t="s">
        <v>409</v>
      </c>
      <c r="B4" s="1447"/>
      <c r="C4" s="1447"/>
      <c r="D4" s="1447"/>
      <c r="E4" s="1447"/>
      <c r="F4" s="1447"/>
      <c r="G4" s="1447"/>
      <c r="H4" s="1447"/>
      <c r="I4" s="1447"/>
      <c r="J4" s="1447"/>
      <c r="K4" s="1447"/>
      <c r="L4" s="1447"/>
      <c r="M4" s="1447"/>
      <c r="N4" s="1447"/>
      <c r="O4" s="1447"/>
      <c r="P4" s="1447"/>
      <c r="Q4" s="1447"/>
      <c r="R4" s="1447"/>
      <c r="S4" s="1447"/>
    </row>
    <row r="5" spans="1:19" ht="19.5" thickBot="1">
      <c r="A5" s="680"/>
      <c r="B5" s="680"/>
      <c r="S5" s="679" t="s">
        <v>505</v>
      </c>
    </row>
    <row r="6" spans="1:27" ht="19.5" customHeight="1">
      <c r="A6" s="1425" t="s">
        <v>410</v>
      </c>
      <c r="B6" s="1428" t="s">
        <v>411</v>
      </c>
      <c r="C6" s="1431" t="s">
        <v>5</v>
      </c>
      <c r="D6" s="1432"/>
      <c r="E6" s="1432"/>
      <c r="F6" s="1432"/>
      <c r="G6" s="1432"/>
      <c r="H6" s="1432"/>
      <c r="I6" s="1432"/>
      <c r="J6" s="1433"/>
      <c r="K6" s="1431" t="s">
        <v>412</v>
      </c>
      <c r="L6" s="1432"/>
      <c r="M6" s="1432"/>
      <c r="N6" s="1432"/>
      <c r="O6" s="1432"/>
      <c r="P6" s="1432"/>
      <c r="Q6" s="1432"/>
      <c r="R6" s="1433"/>
      <c r="S6" s="1431" t="s">
        <v>28</v>
      </c>
      <c r="T6" s="1432"/>
      <c r="U6" s="1432"/>
      <c r="V6" s="1432"/>
      <c r="W6" s="1432"/>
      <c r="X6" s="1432"/>
      <c r="Y6" s="1432"/>
      <c r="Z6" s="1440"/>
      <c r="AA6" s="681"/>
    </row>
    <row r="7" spans="1:27" ht="12.75" customHeight="1">
      <c r="A7" s="1426"/>
      <c r="B7" s="1429"/>
      <c r="C7" s="1434"/>
      <c r="D7" s="1435"/>
      <c r="E7" s="1435"/>
      <c r="F7" s="1435"/>
      <c r="G7" s="1435"/>
      <c r="H7" s="1435"/>
      <c r="I7" s="1435"/>
      <c r="J7" s="1436"/>
      <c r="K7" s="1434"/>
      <c r="L7" s="1435"/>
      <c r="M7" s="1435"/>
      <c r="N7" s="1435"/>
      <c r="O7" s="1435"/>
      <c r="P7" s="1435"/>
      <c r="Q7" s="1435"/>
      <c r="R7" s="1436"/>
      <c r="S7" s="1434"/>
      <c r="T7" s="1435"/>
      <c r="U7" s="1435"/>
      <c r="V7" s="1435"/>
      <c r="W7" s="1435"/>
      <c r="X7" s="1435"/>
      <c r="Y7" s="1435"/>
      <c r="Z7" s="1441"/>
      <c r="AA7" s="683"/>
    </row>
    <row r="8" spans="1:27" ht="20.25" customHeight="1" thickBot="1">
      <c r="A8" s="1427"/>
      <c r="B8" s="1430"/>
      <c r="C8" s="1437"/>
      <c r="D8" s="1438"/>
      <c r="E8" s="1438"/>
      <c r="F8" s="1438"/>
      <c r="G8" s="1438"/>
      <c r="H8" s="1438"/>
      <c r="I8" s="1438"/>
      <c r="J8" s="1439"/>
      <c r="K8" s="1437"/>
      <c r="L8" s="1438"/>
      <c r="M8" s="1438"/>
      <c r="N8" s="1438"/>
      <c r="O8" s="1438"/>
      <c r="P8" s="1438"/>
      <c r="Q8" s="1438"/>
      <c r="R8" s="1439"/>
      <c r="S8" s="1437"/>
      <c r="T8" s="1438"/>
      <c r="U8" s="1438"/>
      <c r="V8" s="1438"/>
      <c r="W8" s="1438"/>
      <c r="X8" s="1438"/>
      <c r="Y8" s="1438"/>
      <c r="Z8" s="1442"/>
      <c r="AA8" s="683"/>
    </row>
    <row r="9" spans="1:27" ht="19.5" thickTop="1">
      <c r="A9" s="684"/>
      <c r="B9" s="682"/>
      <c r="C9" s="685" t="s">
        <v>69</v>
      </c>
      <c r="D9" s="685" t="s">
        <v>237</v>
      </c>
      <c r="E9" s="685" t="s">
        <v>240</v>
      </c>
      <c r="F9" s="685" t="s">
        <v>243</v>
      </c>
      <c r="G9" s="686" t="s">
        <v>259</v>
      </c>
      <c r="H9" s="686" t="s">
        <v>264</v>
      </c>
      <c r="I9" s="686" t="s">
        <v>246</v>
      </c>
      <c r="J9" s="686" t="s">
        <v>247</v>
      </c>
      <c r="K9" s="685" t="s">
        <v>69</v>
      </c>
      <c r="L9" s="685" t="s">
        <v>237</v>
      </c>
      <c r="M9" s="685" t="s">
        <v>240</v>
      </c>
      <c r="N9" s="685" t="s">
        <v>243</v>
      </c>
      <c r="O9" s="686" t="s">
        <v>259</v>
      </c>
      <c r="P9" s="686" t="s">
        <v>264</v>
      </c>
      <c r="Q9" s="686" t="s">
        <v>246</v>
      </c>
      <c r="R9" s="686" t="s">
        <v>247</v>
      </c>
      <c r="S9" s="685" t="s">
        <v>69</v>
      </c>
      <c r="T9" s="685" t="s">
        <v>237</v>
      </c>
      <c r="U9" s="685" t="s">
        <v>240</v>
      </c>
      <c r="V9" s="685" t="s">
        <v>243</v>
      </c>
      <c r="W9" s="686" t="s">
        <v>259</v>
      </c>
      <c r="X9" s="686" t="s">
        <v>264</v>
      </c>
      <c r="Y9" s="686" t="s">
        <v>246</v>
      </c>
      <c r="Z9" s="687" t="s">
        <v>247</v>
      </c>
      <c r="AA9" s="683"/>
    </row>
    <row r="10" spans="1:27" ht="27" customHeight="1">
      <c r="A10" s="688" t="s">
        <v>466</v>
      </c>
      <c r="B10" s="689" t="s">
        <v>213</v>
      </c>
      <c r="C10" s="690">
        <v>100000</v>
      </c>
      <c r="D10" s="690">
        <v>100000</v>
      </c>
      <c r="E10" s="690">
        <v>100000</v>
      </c>
      <c r="F10" s="690">
        <v>100000</v>
      </c>
      <c r="G10" s="690">
        <v>100000</v>
      </c>
      <c r="H10" s="690">
        <v>0</v>
      </c>
      <c r="I10" s="691">
        <v>0</v>
      </c>
      <c r="J10" s="692"/>
      <c r="K10" s="690"/>
      <c r="L10" s="690"/>
      <c r="M10" s="690"/>
      <c r="N10" s="690"/>
      <c r="O10" s="691"/>
      <c r="P10" s="691"/>
      <c r="Q10" s="691"/>
      <c r="R10" s="692"/>
      <c r="S10" s="690">
        <v>100000</v>
      </c>
      <c r="T10" s="690">
        <v>100000</v>
      </c>
      <c r="U10" s="690">
        <v>100000</v>
      </c>
      <c r="V10" s="690">
        <v>100000</v>
      </c>
      <c r="W10" s="690">
        <v>100000</v>
      </c>
      <c r="X10" s="690">
        <v>0</v>
      </c>
      <c r="Y10" s="691">
        <v>0</v>
      </c>
      <c r="Z10" s="692"/>
      <c r="AA10" s="683"/>
    </row>
    <row r="11" spans="1:27" ht="27.75" customHeight="1">
      <c r="A11" s="688" t="s">
        <v>467</v>
      </c>
      <c r="B11" s="689" t="s">
        <v>213</v>
      </c>
      <c r="C11" s="690">
        <v>500000</v>
      </c>
      <c r="D11" s="690">
        <v>500000</v>
      </c>
      <c r="E11" s="690">
        <v>500000</v>
      </c>
      <c r="F11" s="690">
        <v>500000</v>
      </c>
      <c r="G11" s="690">
        <v>500000</v>
      </c>
      <c r="H11" s="690">
        <v>500000</v>
      </c>
      <c r="I11" s="691">
        <v>400000</v>
      </c>
      <c r="J11" s="692">
        <f aca="true" t="shared" si="0" ref="J11:J20">I11/H11</f>
        <v>0.8</v>
      </c>
      <c r="K11" s="690"/>
      <c r="L11" s="690"/>
      <c r="M11" s="690"/>
      <c r="N11" s="690"/>
      <c r="O11" s="690"/>
      <c r="P11" s="691"/>
      <c r="Q11" s="691"/>
      <c r="R11" s="692"/>
      <c r="S11" s="690">
        <v>500000</v>
      </c>
      <c r="T11" s="690">
        <v>500000</v>
      </c>
      <c r="U11" s="690">
        <v>500000</v>
      </c>
      <c r="V11" s="690">
        <v>500000</v>
      </c>
      <c r="W11" s="690">
        <v>500000</v>
      </c>
      <c r="X11" s="690">
        <v>500000</v>
      </c>
      <c r="Y11" s="691">
        <v>400000</v>
      </c>
      <c r="Z11" s="692">
        <f>Y11/X11</f>
        <v>0.8</v>
      </c>
      <c r="AA11" s="683"/>
    </row>
    <row r="12" spans="1:27" ht="27" customHeight="1" hidden="1">
      <c r="A12" s="688" t="s">
        <v>413</v>
      </c>
      <c r="B12" s="689" t="s">
        <v>213</v>
      </c>
      <c r="C12" s="690"/>
      <c r="D12" s="690"/>
      <c r="E12" s="690"/>
      <c r="F12" s="690"/>
      <c r="G12" s="690"/>
      <c r="H12" s="690"/>
      <c r="I12" s="691"/>
      <c r="J12" s="692" t="e">
        <f t="shared" si="0"/>
        <v>#DIV/0!</v>
      </c>
      <c r="K12" s="690"/>
      <c r="L12" s="690"/>
      <c r="M12" s="690"/>
      <c r="N12" s="690"/>
      <c r="O12" s="690"/>
      <c r="P12" s="690"/>
      <c r="Q12" s="690"/>
      <c r="R12" s="693"/>
      <c r="S12" s="690"/>
      <c r="T12" s="690"/>
      <c r="U12" s="690"/>
      <c r="V12" s="690"/>
      <c r="W12" s="690"/>
      <c r="X12" s="690"/>
      <c r="Y12" s="691"/>
      <c r="Z12" s="692" t="e">
        <f>W12/V12</f>
        <v>#DIV/0!</v>
      </c>
      <c r="AA12" s="683"/>
    </row>
    <row r="13" spans="1:29" ht="28.5" customHeight="1">
      <c r="A13" s="688" t="s">
        <v>468</v>
      </c>
      <c r="B13" s="689" t="s">
        <v>213</v>
      </c>
      <c r="C13" s="690">
        <v>1150000</v>
      </c>
      <c r="D13" s="690">
        <v>1150000</v>
      </c>
      <c r="E13" s="690">
        <v>1150000</v>
      </c>
      <c r="F13" s="690">
        <v>1150000</v>
      </c>
      <c r="G13" s="690">
        <v>1150000</v>
      </c>
      <c r="H13" s="690">
        <v>1250000</v>
      </c>
      <c r="I13" s="691">
        <f>1115810-480000</f>
        <v>635810</v>
      </c>
      <c r="J13" s="692">
        <f t="shared" si="0"/>
        <v>0.508648</v>
      </c>
      <c r="K13" s="690"/>
      <c r="L13" s="690"/>
      <c r="M13" s="690"/>
      <c r="N13" s="690"/>
      <c r="O13" s="690"/>
      <c r="P13" s="690"/>
      <c r="Q13" s="690"/>
      <c r="R13" s="693"/>
      <c r="S13" s="690">
        <v>1150000</v>
      </c>
      <c r="T13" s="690">
        <v>1150000</v>
      </c>
      <c r="U13" s="690">
        <v>1150000</v>
      </c>
      <c r="V13" s="690">
        <v>1150000</v>
      </c>
      <c r="W13" s="690">
        <v>1150000</v>
      </c>
      <c r="X13" s="690">
        <v>1250000</v>
      </c>
      <c r="Y13" s="691">
        <f>1115810-480000</f>
        <v>635810</v>
      </c>
      <c r="Z13" s="692">
        <f aca="true" t="shared" si="1" ref="Z13:Z20">Y13/X13</f>
        <v>0.508648</v>
      </c>
      <c r="AA13" s="683"/>
      <c r="AC13" s="31"/>
    </row>
    <row r="14" spans="1:27" ht="32.25" customHeight="1">
      <c r="A14" s="688" t="s">
        <v>469</v>
      </c>
      <c r="B14" s="689" t="s">
        <v>213</v>
      </c>
      <c r="C14" s="690">
        <v>500000</v>
      </c>
      <c r="D14" s="690">
        <v>500000</v>
      </c>
      <c r="E14" s="690">
        <v>500000</v>
      </c>
      <c r="F14" s="690">
        <v>500000</v>
      </c>
      <c r="G14" s="690">
        <v>500000</v>
      </c>
      <c r="H14" s="690">
        <v>500000</v>
      </c>
      <c r="I14" s="691">
        <v>137560</v>
      </c>
      <c r="J14" s="692">
        <f t="shared" si="0"/>
        <v>0.27512</v>
      </c>
      <c r="K14" s="690"/>
      <c r="L14" s="690"/>
      <c r="M14" s="690"/>
      <c r="N14" s="690"/>
      <c r="O14" s="690"/>
      <c r="P14" s="690"/>
      <c r="Q14" s="690"/>
      <c r="R14" s="693"/>
      <c r="S14" s="690">
        <v>500000</v>
      </c>
      <c r="T14" s="690">
        <v>500000</v>
      </c>
      <c r="U14" s="690">
        <v>500000</v>
      </c>
      <c r="V14" s="690">
        <v>500000</v>
      </c>
      <c r="W14" s="690">
        <v>500000</v>
      </c>
      <c r="X14" s="690">
        <v>500000</v>
      </c>
      <c r="Y14" s="691">
        <v>137560</v>
      </c>
      <c r="Z14" s="692">
        <f>Y14/X14</f>
        <v>0.27512</v>
      </c>
      <c r="AA14" s="683"/>
    </row>
    <row r="15" spans="1:27" ht="33" customHeight="1">
      <c r="A15" s="688" t="s">
        <v>478</v>
      </c>
      <c r="B15" s="689" t="s">
        <v>213</v>
      </c>
      <c r="C15" s="695">
        <v>500000</v>
      </c>
      <c r="D15" s="695">
        <v>500000</v>
      </c>
      <c r="E15" s="695">
        <v>500000</v>
      </c>
      <c r="F15" s="695">
        <v>500000</v>
      </c>
      <c r="G15" s="695">
        <v>500000</v>
      </c>
      <c r="H15" s="695">
        <v>500000</v>
      </c>
      <c r="I15" s="1061">
        <v>475000</v>
      </c>
      <c r="J15" s="692">
        <f t="shared" si="0"/>
        <v>0.95</v>
      </c>
      <c r="K15" s="695"/>
      <c r="L15" s="695"/>
      <c r="M15" s="695"/>
      <c r="N15" s="695"/>
      <c r="O15" s="695"/>
      <c r="P15" s="695"/>
      <c r="Q15" s="695"/>
      <c r="R15" s="693"/>
      <c r="S15" s="695">
        <v>500000</v>
      </c>
      <c r="T15" s="695">
        <v>500000</v>
      </c>
      <c r="U15" s="695">
        <v>500000</v>
      </c>
      <c r="V15" s="695">
        <v>500000</v>
      </c>
      <c r="W15" s="695">
        <v>500000</v>
      </c>
      <c r="X15" s="695">
        <v>500000</v>
      </c>
      <c r="Y15" s="1061">
        <v>475000</v>
      </c>
      <c r="Z15" s="692">
        <f>Y15/X15</f>
        <v>0.95</v>
      </c>
      <c r="AA15" s="683"/>
    </row>
    <row r="16" spans="1:27" ht="33" customHeight="1">
      <c r="A16" s="688" t="s">
        <v>524</v>
      </c>
      <c r="B16" s="689" t="s">
        <v>214</v>
      </c>
      <c r="C16" s="695">
        <v>977016</v>
      </c>
      <c r="D16" s="695">
        <v>977016</v>
      </c>
      <c r="E16" s="695">
        <v>977016</v>
      </c>
      <c r="F16" s="695">
        <v>977016</v>
      </c>
      <c r="G16" s="695">
        <f>977016-22230</f>
        <v>954786</v>
      </c>
      <c r="H16" s="695">
        <f>977016-22230-572850-304437</f>
        <v>77499</v>
      </c>
      <c r="I16" s="695">
        <v>0</v>
      </c>
      <c r="J16" s="692">
        <f t="shared" si="0"/>
        <v>0</v>
      </c>
      <c r="K16" s="695">
        <v>644670</v>
      </c>
      <c r="L16" s="695">
        <v>644670</v>
      </c>
      <c r="M16" s="695">
        <v>644670</v>
      </c>
      <c r="N16" s="695">
        <v>644670</v>
      </c>
      <c r="O16" s="695">
        <f>644670-22230</f>
        <v>622440</v>
      </c>
      <c r="P16" s="695">
        <v>41040</v>
      </c>
      <c r="Q16" s="695"/>
      <c r="R16" s="693"/>
      <c r="S16" s="695">
        <f aca="true" t="shared" si="2" ref="S16:X16">C16-K16</f>
        <v>332346</v>
      </c>
      <c r="T16" s="695">
        <f t="shared" si="2"/>
        <v>332346</v>
      </c>
      <c r="U16" s="695">
        <f t="shared" si="2"/>
        <v>332346</v>
      </c>
      <c r="V16" s="695">
        <f t="shared" si="2"/>
        <v>332346</v>
      </c>
      <c r="W16" s="695">
        <f t="shared" si="2"/>
        <v>332346</v>
      </c>
      <c r="X16" s="695">
        <f t="shared" si="2"/>
        <v>36459</v>
      </c>
      <c r="Y16" s="695">
        <v>0</v>
      </c>
      <c r="Z16" s="692">
        <f t="shared" si="1"/>
        <v>0</v>
      </c>
      <c r="AA16" s="683"/>
    </row>
    <row r="17" spans="1:27" ht="33" customHeight="1" hidden="1" thickBot="1">
      <c r="A17" s="897" t="s">
        <v>491</v>
      </c>
      <c r="B17" s="898" t="s">
        <v>214</v>
      </c>
      <c r="C17" s="899"/>
      <c r="D17" s="899"/>
      <c r="E17" s="899"/>
      <c r="F17" s="899"/>
      <c r="G17" s="899"/>
      <c r="H17" s="899"/>
      <c r="I17" s="899"/>
      <c r="J17" s="692" t="e">
        <f t="shared" si="0"/>
        <v>#DIV/0!</v>
      </c>
      <c r="K17" s="899"/>
      <c r="L17" s="899"/>
      <c r="M17" s="899"/>
      <c r="N17" s="899"/>
      <c r="O17" s="899"/>
      <c r="P17" s="899"/>
      <c r="Q17" s="899"/>
      <c r="R17" s="900"/>
      <c r="S17" s="695">
        <f aca="true" t="shared" si="3" ref="S17:W18">C17-K17</f>
        <v>0</v>
      </c>
      <c r="T17" s="695">
        <f t="shared" si="3"/>
        <v>0</v>
      </c>
      <c r="U17" s="695">
        <f t="shared" si="3"/>
        <v>0</v>
      </c>
      <c r="V17" s="695">
        <f t="shared" si="3"/>
        <v>0</v>
      </c>
      <c r="W17" s="695">
        <f t="shared" si="3"/>
        <v>0</v>
      </c>
      <c r="X17" s="899"/>
      <c r="Y17" s="899"/>
      <c r="Z17" s="692" t="e">
        <f t="shared" si="1"/>
        <v>#DIV/0!</v>
      </c>
      <c r="AA17" s="683"/>
    </row>
    <row r="18" spans="1:27" ht="33" customHeight="1">
      <c r="A18" s="688" t="s">
        <v>523</v>
      </c>
      <c r="B18" s="689" t="s">
        <v>214</v>
      </c>
      <c r="C18" s="695">
        <v>1047750</v>
      </c>
      <c r="D18" s="695">
        <v>1047750</v>
      </c>
      <c r="E18" s="695">
        <v>1047750</v>
      </c>
      <c r="F18" s="695">
        <v>1047750</v>
      </c>
      <c r="G18" s="695">
        <v>1047750</v>
      </c>
      <c r="H18" s="695">
        <v>1047750</v>
      </c>
      <c r="I18" s="695">
        <v>1047750</v>
      </c>
      <c r="J18" s="692">
        <f t="shared" si="0"/>
        <v>1</v>
      </c>
      <c r="K18" s="695">
        <v>977900</v>
      </c>
      <c r="L18" s="695">
        <v>977900</v>
      </c>
      <c r="M18" s="695">
        <v>977900</v>
      </c>
      <c r="N18" s="695">
        <v>977900</v>
      </c>
      <c r="O18" s="695">
        <v>977900</v>
      </c>
      <c r="P18" s="695">
        <v>977900</v>
      </c>
      <c r="Q18" s="695">
        <v>977900</v>
      </c>
      <c r="R18" s="692">
        <f>Q18/P18</f>
        <v>1</v>
      </c>
      <c r="S18" s="695">
        <f t="shared" si="3"/>
        <v>69850</v>
      </c>
      <c r="T18" s="695">
        <f t="shared" si="3"/>
        <v>69850</v>
      </c>
      <c r="U18" s="695">
        <f t="shared" si="3"/>
        <v>69850</v>
      </c>
      <c r="V18" s="695">
        <f t="shared" si="3"/>
        <v>69850</v>
      </c>
      <c r="W18" s="695">
        <f t="shared" si="3"/>
        <v>69850</v>
      </c>
      <c r="X18" s="695">
        <f>H18-P18</f>
        <v>69850</v>
      </c>
      <c r="Y18" s="695">
        <v>69850</v>
      </c>
      <c r="Z18" s="692">
        <f t="shared" si="1"/>
        <v>1</v>
      </c>
      <c r="AA18" s="903"/>
    </row>
    <row r="19" spans="1:27" ht="33" customHeight="1">
      <c r="A19" s="994" t="s">
        <v>491</v>
      </c>
      <c r="B19" s="995" t="s">
        <v>214</v>
      </c>
      <c r="C19" s="996"/>
      <c r="D19" s="996"/>
      <c r="E19" s="996"/>
      <c r="F19" s="996"/>
      <c r="G19" s="996"/>
      <c r="H19" s="996">
        <v>423400</v>
      </c>
      <c r="I19" s="996">
        <v>423400</v>
      </c>
      <c r="J19" s="692">
        <f t="shared" si="0"/>
        <v>1</v>
      </c>
      <c r="K19" s="996"/>
      <c r="L19" s="996"/>
      <c r="M19" s="996"/>
      <c r="N19" s="996"/>
      <c r="O19" s="996"/>
      <c r="P19" s="996">
        <v>423400</v>
      </c>
      <c r="Q19" s="996">
        <v>423400</v>
      </c>
      <c r="R19" s="692">
        <f>Q19/P19</f>
        <v>1</v>
      </c>
      <c r="S19" s="996"/>
      <c r="T19" s="996"/>
      <c r="U19" s="996"/>
      <c r="V19" s="996"/>
      <c r="W19" s="996"/>
      <c r="X19" s="996">
        <v>0</v>
      </c>
      <c r="Y19" s="996">
        <v>0</v>
      </c>
      <c r="Z19" s="692"/>
      <c r="AA19" s="903"/>
    </row>
    <row r="20" spans="1:27" ht="33" customHeight="1" thickBot="1">
      <c r="A20" s="897" t="s">
        <v>589</v>
      </c>
      <c r="B20" s="898" t="s">
        <v>214</v>
      </c>
      <c r="C20" s="899"/>
      <c r="D20" s="899"/>
      <c r="E20" s="899"/>
      <c r="F20" s="899"/>
      <c r="G20" s="899"/>
      <c r="H20" s="899">
        <v>1485900</v>
      </c>
      <c r="I20" s="899">
        <v>1485900</v>
      </c>
      <c r="J20" s="692">
        <f t="shared" si="0"/>
        <v>1</v>
      </c>
      <c r="K20" s="899"/>
      <c r="L20" s="899"/>
      <c r="M20" s="899"/>
      <c r="N20" s="899"/>
      <c r="O20" s="899"/>
      <c r="P20" s="899">
        <v>1386840</v>
      </c>
      <c r="Q20" s="899">
        <v>1386840</v>
      </c>
      <c r="R20" s="692">
        <f>Q20/P20</f>
        <v>1</v>
      </c>
      <c r="S20" s="899"/>
      <c r="T20" s="899"/>
      <c r="U20" s="899"/>
      <c r="V20" s="899"/>
      <c r="W20" s="899"/>
      <c r="X20" s="899">
        <v>99060</v>
      </c>
      <c r="Y20" s="899">
        <v>99060</v>
      </c>
      <c r="Z20" s="692">
        <f t="shared" si="1"/>
        <v>1</v>
      </c>
      <c r="AA20" s="903"/>
    </row>
    <row r="21" spans="1:27" ht="39" customHeight="1" thickBot="1" thickTop="1">
      <c r="A21" s="696" t="s">
        <v>22</v>
      </c>
      <c r="B21" s="697"/>
      <c r="C21" s="698">
        <f>SUM(C10:C18)</f>
        <v>4774766</v>
      </c>
      <c r="D21" s="698">
        <f>SUM(D10:D18)</f>
        <v>4774766</v>
      </c>
      <c r="E21" s="698">
        <f>SUM(E10:E18)</f>
        <v>4774766</v>
      </c>
      <c r="F21" s="698">
        <f>SUM(F10:F18)</f>
        <v>4774766</v>
      </c>
      <c r="G21" s="698">
        <f>SUM(G10:G18)</f>
        <v>4752536</v>
      </c>
      <c r="H21" s="698">
        <f>SUM(H10:H20)</f>
        <v>5784549</v>
      </c>
      <c r="I21" s="698">
        <f>SUM(I10:I20)</f>
        <v>4605420</v>
      </c>
      <c r="J21" s="699">
        <f>I21/H21</f>
        <v>0.7961588708125733</v>
      </c>
      <c r="K21" s="698">
        <f>SUM(K10:K18)</f>
        <v>1622570</v>
      </c>
      <c r="L21" s="698">
        <f>SUM(L10:L18)</f>
        <v>1622570</v>
      </c>
      <c r="M21" s="698">
        <f>SUM(M10:M18)</f>
        <v>1622570</v>
      </c>
      <c r="N21" s="698">
        <f>SUM(N10:N18)</f>
        <v>1622570</v>
      </c>
      <c r="O21" s="698">
        <f>SUM(O10:O18)</f>
        <v>1600340</v>
      </c>
      <c r="P21" s="698">
        <f>SUM(P10:P20)</f>
        <v>2829180</v>
      </c>
      <c r="Q21" s="698">
        <f>SUM(Q10:Q20)</f>
        <v>2788140</v>
      </c>
      <c r="R21" s="699">
        <f>Q21/P21</f>
        <v>0.9854940300723177</v>
      </c>
      <c r="S21" s="698">
        <f>SUM(S10:S18)</f>
        <v>3152196</v>
      </c>
      <c r="T21" s="698">
        <f>SUM(T10:T18)</f>
        <v>3152196</v>
      </c>
      <c r="U21" s="698">
        <f>SUM(U10:U18)</f>
        <v>3152196</v>
      </c>
      <c r="V21" s="698">
        <f>SUM(V10:V18)</f>
        <v>3152196</v>
      </c>
      <c r="W21" s="698">
        <f>SUM(W10:W18)</f>
        <v>3152196</v>
      </c>
      <c r="X21" s="698">
        <f>SUM(X10:X20)</f>
        <v>2955369</v>
      </c>
      <c r="Y21" s="698">
        <f>SUM(Y10:Y20)</f>
        <v>1817280</v>
      </c>
      <c r="Z21" s="699">
        <f>Y21/X21</f>
        <v>0.6149079861093488</v>
      </c>
      <c r="AA21" s="903"/>
    </row>
    <row r="22" spans="1:27" ht="19.5" customHeight="1">
      <c r="A22" s="700"/>
      <c r="B22" s="700"/>
      <c r="C22" s="701"/>
      <c r="D22" s="701"/>
      <c r="E22" s="701"/>
      <c r="F22" s="701"/>
      <c r="G22" s="701"/>
      <c r="H22" s="701"/>
      <c r="I22" s="701">
        <f>'4.sz.m.ÖNK kiadás'!K10</f>
        <v>4605420</v>
      </c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X22" s="31"/>
      <c r="Y22" s="31"/>
      <c r="AA22" s="702"/>
    </row>
    <row r="23" spans="1:19" ht="66" customHeight="1" thickBot="1">
      <c r="A23" s="1424" t="s">
        <v>414</v>
      </c>
      <c r="B23" s="1424"/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</row>
    <row r="24" spans="1:27" ht="19.5" customHeight="1">
      <c r="A24" s="1425" t="s">
        <v>410</v>
      </c>
      <c r="B24" s="1428" t="s">
        <v>411</v>
      </c>
      <c r="C24" s="1431" t="s">
        <v>5</v>
      </c>
      <c r="D24" s="1432"/>
      <c r="E24" s="1432"/>
      <c r="F24" s="1432"/>
      <c r="G24" s="1432"/>
      <c r="H24" s="1432"/>
      <c r="I24" s="1432"/>
      <c r="J24" s="1433"/>
      <c r="K24" s="1431" t="s">
        <v>412</v>
      </c>
      <c r="L24" s="1432"/>
      <c r="M24" s="1432"/>
      <c r="N24" s="1432"/>
      <c r="O24" s="1432"/>
      <c r="P24" s="1432"/>
      <c r="Q24" s="1432"/>
      <c r="R24" s="1433"/>
      <c r="S24" s="1431" t="s">
        <v>28</v>
      </c>
      <c r="T24" s="1432"/>
      <c r="U24" s="1432"/>
      <c r="V24" s="1432"/>
      <c r="W24" s="1432"/>
      <c r="X24" s="1432"/>
      <c r="Y24" s="1432"/>
      <c r="Z24" s="1440"/>
      <c r="AA24" s="683"/>
    </row>
    <row r="25" spans="1:27" s="704" customFormat="1" ht="19.5" customHeight="1">
      <c r="A25" s="1426"/>
      <c r="B25" s="1429"/>
      <c r="C25" s="1434"/>
      <c r="D25" s="1435"/>
      <c r="E25" s="1435"/>
      <c r="F25" s="1435"/>
      <c r="G25" s="1435"/>
      <c r="H25" s="1435"/>
      <c r="I25" s="1435"/>
      <c r="J25" s="1436"/>
      <c r="K25" s="1434"/>
      <c r="L25" s="1435"/>
      <c r="M25" s="1435"/>
      <c r="N25" s="1435"/>
      <c r="O25" s="1435"/>
      <c r="P25" s="1435"/>
      <c r="Q25" s="1435"/>
      <c r="R25" s="1436"/>
      <c r="S25" s="1434"/>
      <c r="T25" s="1435"/>
      <c r="U25" s="1435"/>
      <c r="V25" s="1435"/>
      <c r="W25" s="1435"/>
      <c r="X25" s="1435"/>
      <c r="Y25" s="1435"/>
      <c r="Z25" s="1441"/>
      <c r="AA25" s="703"/>
    </row>
    <row r="26" spans="1:27" s="704" customFormat="1" ht="19.5" customHeight="1" thickBot="1">
      <c r="A26" s="1427"/>
      <c r="B26" s="1430"/>
      <c r="C26" s="1437"/>
      <c r="D26" s="1438"/>
      <c r="E26" s="1438"/>
      <c r="F26" s="1438"/>
      <c r="G26" s="1438"/>
      <c r="H26" s="1438"/>
      <c r="I26" s="1438"/>
      <c r="J26" s="1439"/>
      <c r="K26" s="1437"/>
      <c r="L26" s="1438"/>
      <c r="M26" s="1438"/>
      <c r="N26" s="1438"/>
      <c r="O26" s="1438"/>
      <c r="P26" s="1438"/>
      <c r="Q26" s="1438"/>
      <c r="R26" s="1439"/>
      <c r="S26" s="1437"/>
      <c r="T26" s="1438"/>
      <c r="U26" s="1438"/>
      <c r="V26" s="1438"/>
      <c r="W26" s="1438"/>
      <c r="X26" s="1438"/>
      <c r="Y26" s="1438"/>
      <c r="Z26" s="1442"/>
      <c r="AA26" s="703"/>
    </row>
    <row r="27" spans="1:27" s="704" customFormat="1" ht="57.75" customHeight="1" thickTop="1">
      <c r="A27" s="705"/>
      <c r="B27" s="706"/>
      <c r="C27" s="686" t="s">
        <v>69</v>
      </c>
      <c r="D27" s="686" t="s">
        <v>237</v>
      </c>
      <c r="E27" s="686" t="s">
        <v>240</v>
      </c>
      <c r="F27" s="685" t="s">
        <v>243</v>
      </c>
      <c r="G27" s="686" t="s">
        <v>259</v>
      </c>
      <c r="H27" s="686" t="s">
        <v>264</v>
      </c>
      <c r="I27" s="686" t="s">
        <v>246</v>
      </c>
      <c r="J27" s="686" t="s">
        <v>247</v>
      </c>
      <c r="K27" s="686" t="s">
        <v>69</v>
      </c>
      <c r="L27" s="686" t="s">
        <v>237</v>
      </c>
      <c r="M27" s="686" t="s">
        <v>240</v>
      </c>
      <c r="N27" s="685" t="s">
        <v>243</v>
      </c>
      <c r="O27" s="686" t="s">
        <v>259</v>
      </c>
      <c r="P27" s="686" t="s">
        <v>264</v>
      </c>
      <c r="Q27" s="686" t="s">
        <v>246</v>
      </c>
      <c r="R27" s="686" t="s">
        <v>247</v>
      </c>
      <c r="S27" s="686" t="s">
        <v>69</v>
      </c>
      <c r="T27" s="686" t="s">
        <v>237</v>
      </c>
      <c r="U27" s="686" t="s">
        <v>240</v>
      </c>
      <c r="V27" s="686" t="s">
        <v>243</v>
      </c>
      <c r="W27" s="686" t="s">
        <v>259</v>
      </c>
      <c r="X27" s="686" t="s">
        <v>264</v>
      </c>
      <c r="Y27" s="686" t="s">
        <v>246</v>
      </c>
      <c r="Z27" s="687" t="s">
        <v>247</v>
      </c>
      <c r="AA27" s="703"/>
    </row>
    <row r="28" spans="1:27" s="704" customFormat="1" ht="34.5" customHeight="1" hidden="1">
      <c r="A28" s="707" t="s">
        <v>415</v>
      </c>
      <c r="B28" s="708" t="s">
        <v>214</v>
      </c>
      <c r="C28" s="710"/>
      <c r="D28" s="710"/>
      <c r="E28" s="710"/>
      <c r="F28" s="710"/>
      <c r="G28" s="710"/>
      <c r="H28" s="710"/>
      <c r="I28" s="709"/>
      <c r="J28" s="692"/>
      <c r="K28" s="710"/>
      <c r="L28" s="710"/>
      <c r="M28" s="710"/>
      <c r="N28" s="710"/>
      <c r="O28" s="710"/>
      <c r="P28" s="709"/>
      <c r="Q28" s="709"/>
      <c r="R28" s="692"/>
      <c r="S28" s="710"/>
      <c r="T28" s="710"/>
      <c r="U28" s="710"/>
      <c r="V28" s="710"/>
      <c r="W28" s="709"/>
      <c r="X28" s="709"/>
      <c r="Y28" s="709"/>
      <c r="Z28" s="692" t="e">
        <f>W28/T28</f>
        <v>#DIV/0!</v>
      </c>
      <c r="AA28" s="703"/>
    </row>
    <row r="29" spans="1:27" s="704" customFormat="1" ht="30" hidden="1">
      <c r="A29" s="711" t="s">
        <v>416</v>
      </c>
      <c r="B29" s="712" t="s">
        <v>214</v>
      </c>
      <c r="C29" s="710"/>
      <c r="D29" s="710"/>
      <c r="E29" s="710"/>
      <c r="F29" s="710"/>
      <c r="G29" s="710"/>
      <c r="H29" s="710"/>
      <c r="I29" s="709"/>
      <c r="J29" s="692"/>
      <c r="K29" s="710"/>
      <c r="L29" s="710"/>
      <c r="M29" s="710"/>
      <c r="N29" s="710"/>
      <c r="O29" s="710"/>
      <c r="P29" s="709"/>
      <c r="Q29" s="709"/>
      <c r="R29" s="692"/>
      <c r="S29" s="709"/>
      <c r="T29" s="709"/>
      <c r="U29" s="709"/>
      <c r="V29" s="710"/>
      <c r="W29" s="710"/>
      <c r="X29" s="710"/>
      <c r="Y29" s="709"/>
      <c r="Z29" s="692" t="e">
        <f>W29/T29</f>
        <v>#DIV/0!</v>
      </c>
      <c r="AA29" s="703"/>
    </row>
    <row r="30" spans="1:27" s="704" customFormat="1" ht="30.75" customHeight="1" hidden="1">
      <c r="A30" s="711" t="s">
        <v>417</v>
      </c>
      <c r="B30" s="712" t="s">
        <v>214</v>
      </c>
      <c r="C30" s="710"/>
      <c r="D30" s="710"/>
      <c r="E30" s="710"/>
      <c r="F30" s="710"/>
      <c r="G30" s="710"/>
      <c r="H30" s="710"/>
      <c r="I30" s="709"/>
      <c r="J30" s="692"/>
      <c r="K30" s="710"/>
      <c r="L30" s="710"/>
      <c r="M30" s="710"/>
      <c r="N30" s="710"/>
      <c r="O30" s="710"/>
      <c r="P30" s="709"/>
      <c r="Q30" s="709"/>
      <c r="R30" s="692"/>
      <c r="S30" s="709"/>
      <c r="T30" s="709"/>
      <c r="U30" s="709"/>
      <c r="V30" s="710"/>
      <c r="W30" s="710"/>
      <c r="X30" s="710"/>
      <c r="Y30" s="709"/>
      <c r="Z30" s="692" t="e">
        <f>W30/T30</f>
        <v>#DIV/0!</v>
      </c>
      <c r="AA30" s="703"/>
    </row>
    <row r="31" spans="1:27" s="704" customFormat="1" ht="31.5" customHeight="1" thickBot="1">
      <c r="A31" s="711" t="s">
        <v>418</v>
      </c>
      <c r="B31" s="712" t="s">
        <v>214</v>
      </c>
      <c r="C31" s="710"/>
      <c r="D31" s="710"/>
      <c r="E31" s="710">
        <v>2500</v>
      </c>
      <c r="F31" s="710">
        <v>2500</v>
      </c>
      <c r="G31" s="710">
        <v>2500</v>
      </c>
      <c r="H31" s="710">
        <v>2500</v>
      </c>
      <c r="I31" s="710">
        <v>2500</v>
      </c>
      <c r="J31" s="692">
        <f>I31/H31</f>
        <v>1</v>
      </c>
      <c r="K31" s="710"/>
      <c r="L31" s="710"/>
      <c r="M31" s="710">
        <v>2250</v>
      </c>
      <c r="N31" s="710">
        <v>2250</v>
      </c>
      <c r="O31" s="710">
        <v>2250</v>
      </c>
      <c r="P31" s="710">
        <v>2250</v>
      </c>
      <c r="Q31" s="710">
        <v>2250</v>
      </c>
      <c r="R31" s="692">
        <f>Q31/P31</f>
        <v>1</v>
      </c>
      <c r="S31" s="709"/>
      <c r="T31" s="709"/>
      <c r="U31" s="709">
        <v>250</v>
      </c>
      <c r="V31" s="710">
        <v>250</v>
      </c>
      <c r="W31" s="710">
        <v>250</v>
      </c>
      <c r="X31" s="710">
        <v>250</v>
      </c>
      <c r="Y31" s="709">
        <v>250</v>
      </c>
      <c r="Z31" s="692">
        <f>Y31/X31</f>
        <v>1</v>
      </c>
      <c r="AA31" s="703"/>
    </row>
    <row r="32" spans="1:27" s="704" customFormat="1" ht="31.5" customHeight="1" hidden="1">
      <c r="A32" s="711" t="s">
        <v>419</v>
      </c>
      <c r="B32" s="712" t="s">
        <v>214</v>
      </c>
      <c r="C32" s="695"/>
      <c r="D32" s="695"/>
      <c r="E32" s="695"/>
      <c r="F32" s="695"/>
      <c r="G32" s="695"/>
      <c r="H32" s="695"/>
      <c r="I32" s="695"/>
      <c r="J32" s="694" t="e">
        <f>G32/E32</f>
        <v>#DIV/0!</v>
      </c>
      <c r="K32" s="695"/>
      <c r="L32" s="695"/>
      <c r="M32" s="695"/>
      <c r="N32" s="695"/>
      <c r="O32" s="695"/>
      <c r="P32" s="891"/>
      <c r="Q32" s="695"/>
      <c r="R32" s="694" t="e">
        <f>O32/M32</f>
        <v>#DIV/0!</v>
      </c>
      <c r="S32" s="695"/>
      <c r="T32" s="695"/>
      <c r="U32" s="695"/>
      <c r="V32" s="695"/>
      <c r="W32" s="695">
        <f>G32-O32</f>
        <v>0</v>
      </c>
      <c r="X32" s="891"/>
      <c r="Y32" s="891"/>
      <c r="Z32" s="694" t="e">
        <f>W32/U32</f>
        <v>#DIV/0!</v>
      </c>
      <c r="AA32" s="703"/>
    </row>
    <row r="33" spans="1:27" s="704" customFormat="1" ht="27.75" customHeight="1" hidden="1">
      <c r="A33" s="711" t="s">
        <v>420</v>
      </c>
      <c r="B33" s="712" t="s">
        <v>214</v>
      </c>
      <c r="C33" s="695"/>
      <c r="D33" s="695"/>
      <c r="E33" s="695"/>
      <c r="F33" s="695"/>
      <c r="G33" s="695"/>
      <c r="H33" s="695"/>
      <c r="I33" s="695"/>
      <c r="J33" s="694">
        <v>0</v>
      </c>
      <c r="K33" s="695"/>
      <c r="L33" s="695"/>
      <c r="M33" s="695"/>
      <c r="N33" s="695"/>
      <c r="O33" s="695"/>
      <c r="P33" s="891"/>
      <c r="Q33" s="695"/>
      <c r="R33" s="694">
        <v>0</v>
      </c>
      <c r="S33" s="695"/>
      <c r="T33" s="695"/>
      <c r="U33" s="695"/>
      <c r="V33" s="695"/>
      <c r="W33" s="695">
        <f>G33-O33</f>
        <v>0</v>
      </c>
      <c r="X33" s="891"/>
      <c r="Y33" s="891"/>
      <c r="Z33" s="694">
        <v>0</v>
      </c>
      <c r="AA33" s="703"/>
    </row>
    <row r="34" spans="1:27" ht="33" customHeight="1" hidden="1" thickBot="1">
      <c r="A34" s="713" t="s">
        <v>421</v>
      </c>
      <c r="B34" s="714" t="s">
        <v>214</v>
      </c>
      <c r="C34" s="715"/>
      <c r="D34" s="715"/>
      <c r="E34" s="715"/>
      <c r="F34" s="715"/>
      <c r="G34" s="715"/>
      <c r="H34" s="715"/>
      <c r="I34" s="715"/>
      <c r="J34" s="694">
        <v>0</v>
      </c>
      <c r="K34" s="715"/>
      <c r="L34" s="715"/>
      <c r="M34" s="715"/>
      <c r="N34" s="715"/>
      <c r="O34" s="715"/>
      <c r="P34" s="892"/>
      <c r="Q34" s="715"/>
      <c r="R34" s="694">
        <v>0</v>
      </c>
      <c r="S34" s="715"/>
      <c r="T34" s="715"/>
      <c r="U34" s="715"/>
      <c r="V34" s="715"/>
      <c r="W34" s="715">
        <f>G34-O34</f>
        <v>0</v>
      </c>
      <c r="X34" s="892"/>
      <c r="Y34" s="892"/>
      <c r="Z34" s="694">
        <v>0</v>
      </c>
      <c r="AA34" s="683"/>
    </row>
    <row r="35" spans="1:27" ht="33" customHeight="1" hidden="1" thickBot="1" thickTop="1">
      <c r="A35" s="716"/>
      <c r="B35" s="717"/>
      <c r="C35" s="718"/>
      <c r="D35" s="718"/>
      <c r="E35" s="718"/>
      <c r="F35" s="718"/>
      <c r="G35" s="718"/>
      <c r="H35" s="718"/>
      <c r="I35" s="718"/>
      <c r="J35" s="694">
        <v>0</v>
      </c>
      <c r="K35" s="718"/>
      <c r="L35" s="718"/>
      <c r="M35" s="718"/>
      <c r="N35" s="718"/>
      <c r="O35" s="718"/>
      <c r="P35" s="893"/>
      <c r="Q35" s="718"/>
      <c r="R35" s="694">
        <v>0</v>
      </c>
      <c r="S35" s="718"/>
      <c r="T35" s="718"/>
      <c r="U35" s="718"/>
      <c r="V35" s="718"/>
      <c r="W35" s="718">
        <f>G35-O35</f>
        <v>0</v>
      </c>
      <c r="X35" s="893"/>
      <c r="Y35" s="893"/>
      <c r="Z35" s="694">
        <v>0</v>
      </c>
      <c r="AA35" s="683"/>
    </row>
    <row r="36" spans="1:27" ht="33" customHeight="1" thickBot="1" thickTop="1">
      <c r="A36" s="696" t="s">
        <v>22</v>
      </c>
      <c r="B36" s="697"/>
      <c r="C36" s="698">
        <f aca="true" t="shared" si="4" ref="C36:H36">SUM(C28:C34)</f>
        <v>0</v>
      </c>
      <c r="D36" s="698">
        <f t="shared" si="4"/>
        <v>0</v>
      </c>
      <c r="E36" s="698">
        <f t="shared" si="4"/>
        <v>2500</v>
      </c>
      <c r="F36" s="698">
        <f t="shared" si="4"/>
        <v>2500</v>
      </c>
      <c r="G36" s="698">
        <f t="shared" si="4"/>
        <v>2500</v>
      </c>
      <c r="H36" s="698">
        <f t="shared" si="4"/>
        <v>2500</v>
      </c>
      <c r="I36" s="698">
        <f>SUM(I28:I34)</f>
        <v>2500</v>
      </c>
      <c r="J36" s="699">
        <f>I36/H36</f>
        <v>1</v>
      </c>
      <c r="K36" s="698">
        <f aca="true" t="shared" si="5" ref="K36:Q36">SUM(K28:K34)</f>
        <v>0</v>
      </c>
      <c r="L36" s="698">
        <f t="shared" si="5"/>
        <v>0</v>
      </c>
      <c r="M36" s="698">
        <f t="shared" si="5"/>
        <v>2250</v>
      </c>
      <c r="N36" s="698">
        <f t="shared" si="5"/>
        <v>2250</v>
      </c>
      <c r="O36" s="698">
        <f t="shared" si="5"/>
        <v>2250</v>
      </c>
      <c r="P36" s="698">
        <f t="shared" si="5"/>
        <v>2250</v>
      </c>
      <c r="Q36" s="698">
        <f t="shared" si="5"/>
        <v>2250</v>
      </c>
      <c r="R36" s="699">
        <f>Q36/P36</f>
        <v>1</v>
      </c>
      <c r="S36" s="698">
        <f aca="true" t="shared" si="6" ref="S36:Y36">SUM(S28:S34)</f>
        <v>0</v>
      </c>
      <c r="T36" s="698">
        <f t="shared" si="6"/>
        <v>0</v>
      </c>
      <c r="U36" s="698">
        <f t="shared" si="6"/>
        <v>250</v>
      </c>
      <c r="V36" s="698">
        <f t="shared" si="6"/>
        <v>250</v>
      </c>
      <c r="W36" s="698">
        <f t="shared" si="6"/>
        <v>250</v>
      </c>
      <c r="X36" s="698">
        <f t="shared" si="6"/>
        <v>250</v>
      </c>
      <c r="Y36" s="698">
        <f t="shared" si="6"/>
        <v>250</v>
      </c>
      <c r="Z36" s="699">
        <f>Y36/X36</f>
        <v>1</v>
      </c>
      <c r="AA36" s="683"/>
    </row>
    <row r="39" ht="12.75">
      <c r="L39" s="719"/>
    </row>
    <row r="40" ht="12.75">
      <c r="L40" s="719"/>
    </row>
    <row r="41" ht="12.75">
      <c r="L41" s="719"/>
    </row>
    <row r="42" ht="12.75">
      <c r="L42" s="719"/>
    </row>
  </sheetData>
  <sheetProtection/>
  <mergeCells count="15">
    <mergeCell ref="K1:S1"/>
    <mergeCell ref="A2:S2"/>
    <mergeCell ref="A3:S3"/>
    <mergeCell ref="A4:S4"/>
    <mergeCell ref="A6:A8"/>
    <mergeCell ref="B6:B8"/>
    <mergeCell ref="C6:J8"/>
    <mergeCell ref="K6:R8"/>
    <mergeCell ref="S6:Z8"/>
    <mergeCell ref="A23:S23"/>
    <mergeCell ref="A24:A26"/>
    <mergeCell ref="B24:B26"/>
    <mergeCell ref="C24:J26"/>
    <mergeCell ref="K24:R26"/>
    <mergeCell ref="S24:Z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5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6"/>
  <sheetViews>
    <sheetView zoomScale="70" zoomScaleNormal="70" workbookViewId="0" topLeftCell="A52">
      <selection activeCell="W11" sqref="W11:AC15"/>
    </sheetView>
  </sheetViews>
  <sheetFormatPr defaultColWidth="9.140625" defaultRowHeight="12.75"/>
  <cols>
    <col min="1" max="1" width="53.00390625" style="327" customWidth="1"/>
    <col min="2" max="2" width="17.140625" style="16" bestFit="1" customWidth="1"/>
    <col min="3" max="3" width="17.140625" style="16" hidden="1" customWidth="1"/>
    <col min="4" max="5" width="16.421875" style="16" hidden="1" customWidth="1"/>
    <col min="6" max="6" width="15.8515625" style="16" hidden="1" customWidth="1"/>
    <col min="7" max="9" width="16.00390625" style="16" customWidth="1"/>
    <col min="10" max="10" width="17.140625" style="16" customWidth="1"/>
    <col min="11" max="11" width="15.57421875" style="16" hidden="1" customWidth="1"/>
    <col min="12" max="12" width="15.7109375" style="16" hidden="1" customWidth="1"/>
    <col min="13" max="13" width="15.00390625" style="16" hidden="1" customWidth="1"/>
    <col min="14" max="14" width="17.421875" style="16" hidden="1" customWidth="1"/>
    <col min="15" max="15" width="17.28125" style="16" customWidth="1"/>
    <col min="16" max="16" width="16.57421875" style="16" customWidth="1"/>
    <col min="17" max="17" width="13.421875" style="16" customWidth="1"/>
    <col min="18" max="18" width="16.7109375" style="16" customWidth="1"/>
    <col min="19" max="19" width="8.421875" style="16" hidden="1" customWidth="1"/>
    <col min="20" max="20" width="9.28125" style="16" hidden="1" customWidth="1"/>
    <col min="21" max="21" width="11.7109375" style="16" hidden="1" customWidth="1"/>
    <col min="22" max="22" width="11.57421875" style="16" customWidth="1"/>
    <col min="23" max="23" width="13.8515625" style="16" bestFit="1" customWidth="1"/>
    <col min="24" max="24" width="13.8515625" style="16" hidden="1" customWidth="1"/>
    <col min="25" max="25" width="14.8515625" style="16" hidden="1" customWidth="1"/>
    <col min="26" max="26" width="14.421875" style="16" hidden="1" customWidth="1"/>
    <col min="27" max="27" width="14.7109375" style="16" hidden="1" customWidth="1"/>
    <col min="28" max="29" width="14.421875" style="16" customWidth="1"/>
    <col min="30" max="30" width="14.00390625" style="16" customWidth="1"/>
    <col min="31" max="31" width="9.140625" style="16" customWidth="1"/>
    <col min="32" max="16384" width="9.140625" style="16" customWidth="1"/>
  </cols>
  <sheetData>
    <row r="1" spans="18:23" ht="12.75" customHeight="1">
      <c r="R1" s="1462" t="s">
        <v>371</v>
      </c>
      <c r="S1" s="1462"/>
      <c r="T1" s="1462"/>
      <c r="U1" s="1462"/>
      <c r="V1" s="1462"/>
      <c r="W1" s="1462"/>
    </row>
    <row r="2" spans="1:23" ht="19.5">
      <c r="A2" s="1463" t="s">
        <v>577</v>
      </c>
      <c r="B2" s="1463"/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  <c r="O2" s="1463"/>
      <c r="P2" s="1463"/>
      <c r="Q2" s="1463"/>
      <c r="R2" s="1463"/>
      <c r="S2" s="1463"/>
      <c r="T2" s="1463"/>
      <c r="U2" s="1463"/>
      <c r="V2" s="1463"/>
      <c r="W2" s="1463"/>
    </row>
    <row r="3" spans="1:23" ht="15.75">
      <c r="A3" s="1464" t="s">
        <v>522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  <c r="P3" s="1464"/>
      <c r="Q3" s="1464"/>
      <c r="R3" s="1464"/>
      <c r="S3" s="1464"/>
      <c r="T3" s="1464"/>
      <c r="U3" s="1464"/>
      <c r="V3" s="1464"/>
      <c r="W3" s="1464"/>
    </row>
    <row r="4" spans="1:23" ht="14.25">
      <c r="A4" s="1465" t="s">
        <v>198</v>
      </c>
      <c r="B4" s="1465"/>
      <c r="C4" s="1465"/>
      <c r="D4" s="1465"/>
      <c r="E4" s="1465"/>
      <c r="F4" s="1465"/>
      <c r="G4" s="1465"/>
      <c r="H4" s="1465"/>
      <c r="I4" s="1465"/>
      <c r="J4" s="1465"/>
      <c r="K4" s="1465"/>
      <c r="L4" s="1465"/>
      <c r="M4" s="1465"/>
      <c r="N4" s="1465"/>
      <c r="O4" s="1465"/>
      <c r="P4" s="1465"/>
      <c r="Q4" s="1465"/>
      <c r="R4" s="1465"/>
      <c r="S4" s="1465"/>
      <c r="T4" s="1465"/>
      <c r="U4" s="1465"/>
      <c r="V4" s="1465"/>
      <c r="W4" s="1465"/>
    </row>
    <row r="5" spans="1:23" ht="14.25">
      <c r="A5" s="953"/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99">
        <f>SUM(P11,P19)</f>
        <v>6427638</v>
      </c>
      <c r="Q5" s="953"/>
      <c r="R5" s="953"/>
      <c r="S5" s="953"/>
      <c r="T5" s="953"/>
      <c r="U5" s="953"/>
      <c r="V5" s="953"/>
      <c r="W5" s="953"/>
    </row>
    <row r="6" spans="1:23" ht="18.75" thickBot="1">
      <c r="A6" s="959" t="s">
        <v>578</v>
      </c>
      <c r="W6" s="12" t="s">
        <v>505</v>
      </c>
    </row>
    <row r="7" spans="1:31" ht="24.75" customHeight="1">
      <c r="A7" s="1449" t="s">
        <v>23</v>
      </c>
      <c r="B7" s="1451" t="s">
        <v>24</v>
      </c>
      <c r="C7" s="1452"/>
      <c r="D7" s="1452"/>
      <c r="E7" s="1452"/>
      <c r="F7" s="1452"/>
      <c r="G7" s="1452"/>
      <c r="H7" s="1452"/>
      <c r="I7" s="1452"/>
      <c r="J7" s="1452"/>
      <c r="K7" s="1452"/>
      <c r="L7" s="1452"/>
      <c r="M7" s="1452"/>
      <c r="N7" s="1452"/>
      <c r="O7" s="1452"/>
      <c r="P7" s="1452"/>
      <c r="Q7" s="1452"/>
      <c r="R7" s="1453" t="s">
        <v>25</v>
      </c>
      <c r="S7" s="1454"/>
      <c r="T7" s="1454"/>
      <c r="U7" s="1454"/>
      <c r="V7" s="1454"/>
      <c r="W7" s="1454"/>
      <c r="X7" s="1454"/>
      <c r="Y7" s="1454"/>
      <c r="Z7" s="1454"/>
      <c r="AA7" s="1454"/>
      <c r="AB7" s="1451"/>
      <c r="AC7" s="1451"/>
      <c r="AD7" s="1455"/>
      <c r="AE7" s="572"/>
    </row>
    <row r="8" spans="1:31" ht="24.75" customHeight="1">
      <c r="A8" s="1450"/>
      <c r="B8" s="1456" t="s">
        <v>67</v>
      </c>
      <c r="C8" s="1457"/>
      <c r="D8" s="1457"/>
      <c r="E8" s="1457"/>
      <c r="F8" s="1457"/>
      <c r="G8" s="1457"/>
      <c r="H8" s="1457"/>
      <c r="I8" s="1458"/>
      <c r="J8" s="1456" t="s">
        <v>68</v>
      </c>
      <c r="K8" s="1457"/>
      <c r="L8" s="1457"/>
      <c r="M8" s="1457"/>
      <c r="N8" s="1457"/>
      <c r="O8" s="1457"/>
      <c r="P8" s="1457"/>
      <c r="Q8" s="1457"/>
      <c r="R8" s="1459" t="s">
        <v>67</v>
      </c>
      <c r="S8" s="1460"/>
      <c r="T8" s="1460"/>
      <c r="U8" s="1460"/>
      <c r="V8" s="1460"/>
      <c r="W8" s="1460" t="s">
        <v>68</v>
      </c>
      <c r="X8" s="1460"/>
      <c r="Y8" s="1460"/>
      <c r="Z8" s="1460"/>
      <c r="AA8" s="1460"/>
      <c r="AB8" s="1456"/>
      <c r="AC8" s="1456"/>
      <c r="AD8" s="1461"/>
      <c r="AE8" s="572"/>
    </row>
    <row r="9" spans="1:31" ht="42" customHeight="1">
      <c r="A9" s="317"/>
      <c r="B9" s="318" t="s">
        <v>238</v>
      </c>
      <c r="C9" s="318" t="s">
        <v>236</v>
      </c>
      <c r="D9" s="574" t="s">
        <v>241</v>
      </c>
      <c r="E9" s="318" t="s">
        <v>244</v>
      </c>
      <c r="F9" s="318" t="s">
        <v>490</v>
      </c>
      <c r="G9" s="318" t="s">
        <v>496</v>
      </c>
      <c r="H9" s="1017" t="s">
        <v>432</v>
      </c>
      <c r="I9" s="1017" t="s">
        <v>247</v>
      </c>
      <c r="J9" s="1017" t="s">
        <v>238</v>
      </c>
      <c r="K9" s="868" t="s">
        <v>236</v>
      </c>
      <c r="L9" s="873" t="s">
        <v>241</v>
      </c>
      <c r="M9" s="874" t="s">
        <v>244</v>
      </c>
      <c r="N9" s="318" t="s">
        <v>490</v>
      </c>
      <c r="O9" s="318" t="s">
        <v>496</v>
      </c>
      <c r="P9" s="1017" t="s">
        <v>432</v>
      </c>
      <c r="Q9" s="868" t="s">
        <v>247</v>
      </c>
      <c r="R9" s="1062" t="s">
        <v>605</v>
      </c>
      <c r="S9" s="318" t="s">
        <v>236</v>
      </c>
      <c r="T9" s="574" t="s">
        <v>241</v>
      </c>
      <c r="U9" s="318" t="s">
        <v>244</v>
      </c>
      <c r="V9" s="318" t="s">
        <v>432</v>
      </c>
      <c r="W9" s="318" t="s">
        <v>238</v>
      </c>
      <c r="X9" s="318" t="s">
        <v>236</v>
      </c>
      <c r="Y9" s="574" t="s">
        <v>241</v>
      </c>
      <c r="Z9" s="318" t="s">
        <v>244</v>
      </c>
      <c r="AA9" s="318" t="s">
        <v>490</v>
      </c>
      <c r="AB9" s="318" t="s">
        <v>496</v>
      </c>
      <c r="AC9" s="1017" t="s">
        <v>432</v>
      </c>
      <c r="AD9" s="868" t="s">
        <v>247</v>
      </c>
      <c r="AE9" s="572"/>
    </row>
    <row r="10" spans="1:31" ht="18">
      <c r="A10" s="48" t="s">
        <v>471</v>
      </c>
      <c r="B10" s="52"/>
      <c r="C10" s="52"/>
      <c r="D10" s="52"/>
      <c r="E10" s="52"/>
      <c r="F10" s="52"/>
      <c r="G10" s="52"/>
      <c r="H10" s="52"/>
      <c r="I10" s="52"/>
      <c r="J10" s="52">
        <v>60000</v>
      </c>
      <c r="K10" s="52">
        <v>60000</v>
      </c>
      <c r="L10" s="52">
        <v>60000</v>
      </c>
      <c r="M10" s="52">
        <v>60000</v>
      </c>
      <c r="N10" s="52">
        <v>60000</v>
      </c>
      <c r="O10" s="52">
        <v>60000</v>
      </c>
      <c r="P10" s="407"/>
      <c r="Q10" s="812">
        <f aca="true" t="shared" si="0" ref="Q10:Q52">P10/O10</f>
        <v>0</v>
      </c>
      <c r="R10" s="409"/>
      <c r="S10" s="53"/>
      <c r="T10" s="53"/>
      <c r="U10" s="53"/>
      <c r="V10" s="53"/>
      <c r="W10" s="55"/>
      <c r="X10" s="55"/>
      <c r="Y10" s="55"/>
      <c r="Z10" s="55"/>
      <c r="AA10" s="55"/>
      <c r="AB10" s="408"/>
      <c r="AC10" s="408"/>
      <c r="AD10" s="82"/>
      <c r="AE10" s="572"/>
    </row>
    <row r="11" spans="1:31" ht="18">
      <c r="A11" s="48" t="s">
        <v>472</v>
      </c>
      <c r="B11" s="52"/>
      <c r="C11" s="52"/>
      <c r="D11" s="52"/>
      <c r="E11" s="52"/>
      <c r="F11" s="52"/>
      <c r="G11" s="52"/>
      <c r="H11" s="52"/>
      <c r="I11" s="52"/>
      <c r="J11" s="52">
        <v>5000000</v>
      </c>
      <c r="K11" s="52">
        <v>5000000</v>
      </c>
      <c r="L11" s="52">
        <v>5000000</v>
      </c>
      <c r="M11" s="52">
        <v>5000000</v>
      </c>
      <c r="N11" s="52">
        <v>5000000</v>
      </c>
      <c r="O11" s="52">
        <v>5081638</v>
      </c>
      <c r="P11" s="407">
        <v>5081638</v>
      </c>
      <c r="Q11" s="812">
        <f t="shared" si="0"/>
        <v>1</v>
      </c>
      <c r="R11" s="409"/>
      <c r="S11" s="53"/>
      <c r="T11" s="53"/>
      <c r="U11" s="53"/>
      <c r="V11" s="53"/>
      <c r="W11" s="55">
        <v>3000000</v>
      </c>
      <c r="X11" s="55">
        <v>3000000</v>
      </c>
      <c r="Y11" s="55">
        <v>3000000</v>
      </c>
      <c r="Z11" s="55">
        <v>3000000</v>
      </c>
      <c r="AA11" s="55">
        <v>3000000</v>
      </c>
      <c r="AB11" s="55">
        <v>3000000</v>
      </c>
      <c r="AC11" s="55">
        <v>3000000</v>
      </c>
      <c r="AD11" s="812">
        <f>AC11/AB11</f>
        <v>1</v>
      </c>
      <c r="AE11" s="572"/>
    </row>
    <row r="12" spans="1:31" ht="18">
      <c r="A12" s="48" t="s">
        <v>378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07"/>
      <c r="Q12" s="812"/>
      <c r="R12" s="409"/>
      <c r="S12" s="53"/>
      <c r="T12" s="53"/>
      <c r="U12" s="53"/>
      <c r="V12" s="53"/>
      <c r="W12" s="55"/>
      <c r="X12" s="55"/>
      <c r="Y12" s="55"/>
      <c r="Z12" s="55"/>
      <c r="AA12" s="55"/>
      <c r="AB12" s="55"/>
      <c r="AC12" s="55"/>
      <c r="AD12" s="82"/>
      <c r="AE12" s="572"/>
    </row>
    <row r="13" spans="1:31" ht="18">
      <c r="A13" s="49" t="s">
        <v>223</v>
      </c>
      <c r="B13" s="52"/>
      <c r="C13" s="52"/>
      <c r="D13" s="52"/>
      <c r="E13" s="52"/>
      <c r="F13" s="52"/>
      <c r="G13" s="52"/>
      <c r="H13" s="52"/>
      <c r="I13" s="52"/>
      <c r="J13" s="52">
        <v>165000</v>
      </c>
      <c r="K13" s="52">
        <v>165000</v>
      </c>
      <c r="L13" s="52">
        <v>165000</v>
      </c>
      <c r="M13" s="52">
        <v>165000</v>
      </c>
      <c r="N13" s="52">
        <v>165000</v>
      </c>
      <c r="O13" s="52">
        <v>225000</v>
      </c>
      <c r="P13" s="407">
        <v>165000</v>
      </c>
      <c r="Q13" s="812">
        <f t="shared" si="0"/>
        <v>0.7333333333333333</v>
      </c>
      <c r="R13" s="409"/>
      <c r="S13" s="53"/>
      <c r="T13" s="53"/>
      <c r="U13" s="53"/>
      <c r="V13" s="53"/>
      <c r="W13" s="55"/>
      <c r="X13" s="55"/>
      <c r="Y13" s="55"/>
      <c r="Z13" s="55"/>
      <c r="AA13" s="55"/>
      <c r="AB13" s="55"/>
      <c r="AC13" s="55"/>
      <c r="AD13" s="82"/>
      <c r="AE13" s="572"/>
    </row>
    <row r="14" spans="1:31" ht="18" hidden="1">
      <c r="A14" s="49" t="s">
        <v>224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07"/>
      <c r="Q14" s="812" t="e">
        <f t="shared" si="0"/>
        <v>#DIV/0!</v>
      </c>
      <c r="R14" s="409"/>
      <c r="S14" s="53"/>
      <c r="T14" s="53"/>
      <c r="U14" s="53"/>
      <c r="V14" s="53"/>
      <c r="W14" s="55"/>
      <c r="X14" s="55"/>
      <c r="Y14" s="55"/>
      <c r="Z14" s="55"/>
      <c r="AA14" s="55"/>
      <c r="AB14" s="55"/>
      <c r="AC14" s="55"/>
      <c r="AD14" s="82"/>
      <c r="AE14" s="572"/>
    </row>
    <row r="15" spans="1:31" ht="18">
      <c r="A15" s="49" t="s">
        <v>225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07"/>
      <c r="Q15" s="812"/>
      <c r="R15" s="409"/>
      <c r="S15" s="53"/>
      <c r="T15" s="53"/>
      <c r="U15" s="53"/>
      <c r="V15" s="53"/>
      <c r="W15" s="55">
        <v>2000000</v>
      </c>
      <c r="X15" s="55">
        <v>2000000</v>
      </c>
      <c r="Y15" s="55">
        <v>2000000</v>
      </c>
      <c r="Z15" s="55">
        <v>2000000</v>
      </c>
      <c r="AA15" s="55">
        <v>2000000</v>
      </c>
      <c r="AB15" s="55">
        <f>2000000+450000</f>
        <v>2450000</v>
      </c>
      <c r="AC15" s="55">
        <f>2000000+450000</f>
        <v>2450000</v>
      </c>
      <c r="AD15" s="812">
        <f>AC15/AB15</f>
        <v>1</v>
      </c>
      <c r="AE15" s="572"/>
    </row>
    <row r="16" spans="1:31" ht="18" hidden="1">
      <c r="A16" s="49" t="s">
        <v>231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07"/>
      <c r="Q16" s="812" t="e">
        <f t="shared" si="0"/>
        <v>#DIV/0!</v>
      </c>
      <c r="R16" s="409"/>
      <c r="S16" s="53"/>
      <c r="T16" s="53"/>
      <c r="U16" s="53"/>
      <c r="V16" s="53"/>
      <c r="W16" s="55"/>
      <c r="X16" s="55"/>
      <c r="Y16" s="55"/>
      <c r="Z16" s="55"/>
      <c r="AA16" s="55"/>
      <c r="AB16" s="55"/>
      <c r="AC16" s="408"/>
      <c r="AD16" s="812" t="e">
        <f>AA16/Z16</f>
        <v>#DIV/0!</v>
      </c>
      <c r="AE16" s="572"/>
    </row>
    <row r="17" spans="1:31" ht="33" customHeight="1">
      <c r="A17" s="49" t="s">
        <v>595</v>
      </c>
      <c r="B17" s="52"/>
      <c r="C17" s="52"/>
      <c r="D17" s="52"/>
      <c r="E17" s="52"/>
      <c r="F17" s="52"/>
      <c r="G17" s="52"/>
      <c r="H17" s="52"/>
      <c r="I17" s="52"/>
      <c r="J17" s="52">
        <f>4100530+192795</f>
        <v>4293325</v>
      </c>
      <c r="K17" s="52">
        <f>4100530+192795</f>
        <v>4293325</v>
      </c>
      <c r="L17" s="52">
        <f>4100530+192795</f>
        <v>4293325</v>
      </c>
      <c r="M17" s="52">
        <f>4100530+192795</f>
        <v>4293325</v>
      </c>
      <c r="N17" s="52">
        <f>4100530+192795</f>
        <v>4293325</v>
      </c>
      <c r="O17" s="52">
        <f>SUM(O18:O39)</f>
        <v>3769207</v>
      </c>
      <c r="P17" s="52">
        <f>SUM(P18:P39)</f>
        <v>2420000</v>
      </c>
      <c r="Q17" s="812">
        <f t="shared" si="0"/>
        <v>0.642044865140068</v>
      </c>
      <c r="R17" s="410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408"/>
      <c r="AD17" s="812"/>
      <c r="AE17" s="572"/>
    </row>
    <row r="18" spans="1:31" ht="17.25" customHeight="1">
      <c r="A18" s="648" t="s">
        <v>379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07"/>
      <c r="Q18" s="812"/>
      <c r="R18" s="410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408"/>
      <c r="AD18" s="82"/>
      <c r="AE18" s="572"/>
    </row>
    <row r="19" spans="1:31" ht="17.25" customHeight="1">
      <c r="A19" s="648" t="s">
        <v>380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1346000</v>
      </c>
      <c r="P19" s="407">
        <v>1346000</v>
      </c>
      <c r="Q19" s="812">
        <f t="shared" si="0"/>
        <v>1</v>
      </c>
      <c r="R19" s="410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408"/>
      <c r="AD19" s="82"/>
      <c r="AE19" s="875"/>
    </row>
    <row r="20" spans="1:31" ht="17.25" customHeight="1" hidden="1">
      <c r="A20" s="648" t="s">
        <v>381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07"/>
      <c r="Q20" s="812" t="e">
        <f t="shared" si="0"/>
        <v>#DIV/0!</v>
      </c>
      <c r="R20" s="410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408"/>
      <c r="AD20" s="82"/>
      <c r="AE20" s="572"/>
    </row>
    <row r="21" spans="1:31" ht="17.25" customHeight="1" hidden="1">
      <c r="A21" s="648" t="s">
        <v>382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07"/>
      <c r="Q21" s="812" t="e">
        <f t="shared" si="0"/>
        <v>#DIV/0!</v>
      </c>
      <c r="R21" s="410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408"/>
      <c r="AD21" s="82"/>
      <c r="AE21" s="572"/>
    </row>
    <row r="22" spans="1:31" ht="17.25" customHeight="1">
      <c r="A22" s="648" t="s">
        <v>384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244000</v>
      </c>
      <c r="P22" s="407">
        <v>244000</v>
      </c>
      <c r="Q22" s="812">
        <f t="shared" si="0"/>
        <v>1</v>
      </c>
      <c r="R22" s="410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408"/>
      <c r="AD22" s="82"/>
      <c r="AE22" s="572"/>
    </row>
    <row r="23" spans="1:31" ht="17.25" customHeight="1">
      <c r="A23" s="648" t="s">
        <v>484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70000</v>
      </c>
      <c r="P23" s="407">
        <v>70000</v>
      </c>
      <c r="Q23" s="812">
        <f t="shared" si="0"/>
        <v>1</v>
      </c>
      <c r="R23" s="410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08"/>
      <c r="AD23" s="82"/>
      <c r="AE23" s="572"/>
    </row>
    <row r="24" spans="1:31" ht="17.25" customHeight="1">
      <c r="A24" s="648" t="s">
        <v>390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120000</v>
      </c>
      <c r="P24" s="407">
        <v>120000</v>
      </c>
      <c r="Q24" s="812">
        <f t="shared" si="0"/>
        <v>1</v>
      </c>
      <c r="R24" s="410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408"/>
      <c r="AD24" s="82"/>
      <c r="AE24" s="572"/>
    </row>
    <row r="25" spans="1:31" ht="17.25" customHeight="1">
      <c r="A25" s="648" t="s">
        <v>594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80000</v>
      </c>
      <c r="P25" s="407">
        <v>80000</v>
      </c>
      <c r="Q25" s="812">
        <f t="shared" si="0"/>
        <v>1</v>
      </c>
      <c r="R25" s="410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408"/>
      <c r="AD25" s="82"/>
      <c r="AE25" s="572"/>
    </row>
    <row r="26" spans="1:31" ht="17.25" customHeight="1">
      <c r="A26" s="648" t="s">
        <v>385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>
        <v>36000</v>
      </c>
      <c r="P26" s="407">
        <v>36000</v>
      </c>
      <c r="Q26" s="812">
        <f t="shared" si="0"/>
        <v>1</v>
      </c>
      <c r="R26" s="410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408"/>
      <c r="AD26" s="82"/>
      <c r="AE26" s="572"/>
    </row>
    <row r="27" spans="1:31" ht="17.25" customHeight="1">
      <c r="A27" s="648" t="s">
        <v>480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>
        <v>194000</v>
      </c>
      <c r="P27" s="407">
        <v>194000</v>
      </c>
      <c r="Q27" s="812">
        <f t="shared" si="0"/>
        <v>1</v>
      </c>
      <c r="R27" s="410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408"/>
      <c r="AD27" s="82"/>
      <c r="AE27" s="572"/>
    </row>
    <row r="28" spans="1:31" ht="17.25" customHeight="1">
      <c r="A28" s="648" t="s">
        <v>386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>
        <v>40000</v>
      </c>
      <c r="P28" s="407"/>
      <c r="Q28" s="812">
        <f t="shared" si="0"/>
        <v>0</v>
      </c>
      <c r="R28" s="410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408"/>
      <c r="AD28" s="82"/>
      <c r="AE28" s="572"/>
    </row>
    <row r="29" spans="1:31" ht="17.25" customHeight="1" hidden="1">
      <c r="A29" s="64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07"/>
      <c r="Q29" s="812" t="e">
        <f t="shared" si="0"/>
        <v>#DIV/0!</v>
      </c>
      <c r="R29" s="410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408"/>
      <c r="AD29" s="82"/>
      <c r="AE29" s="572"/>
    </row>
    <row r="30" spans="1:31" ht="17.25" customHeight="1">
      <c r="A30" s="648" t="s">
        <v>387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>
        <v>100000</v>
      </c>
      <c r="P30" s="407">
        <v>100000</v>
      </c>
      <c r="Q30" s="812">
        <f t="shared" si="0"/>
        <v>1</v>
      </c>
      <c r="R30" s="410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408"/>
      <c r="AD30" s="82"/>
      <c r="AE30" s="572"/>
    </row>
    <row r="31" spans="1:31" ht="17.25" customHeight="1" hidden="1">
      <c r="A31" s="648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07"/>
      <c r="Q31" s="812" t="e">
        <f t="shared" si="0"/>
        <v>#DIV/0!</v>
      </c>
      <c r="R31" s="410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408"/>
      <c r="AD31" s="82"/>
      <c r="AE31" s="572"/>
    </row>
    <row r="32" spans="1:31" ht="17.25" customHeight="1">
      <c r="A32" s="648" t="s">
        <v>593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>
        <v>80000</v>
      </c>
      <c r="P32" s="407">
        <v>80000</v>
      </c>
      <c r="Q32" s="812">
        <f t="shared" si="0"/>
        <v>1</v>
      </c>
      <c r="R32" s="410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408"/>
      <c r="AD32" s="82"/>
      <c r="AE32" s="572"/>
    </row>
    <row r="33" spans="1:31" ht="17.25" customHeight="1">
      <c r="A33" s="648" t="s">
        <v>389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>
        <v>20000</v>
      </c>
      <c r="P33" s="407">
        <v>20000</v>
      </c>
      <c r="Q33" s="812">
        <f t="shared" si="0"/>
        <v>1</v>
      </c>
      <c r="R33" s="410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408"/>
      <c r="AD33" s="82"/>
      <c r="AE33" s="572"/>
    </row>
    <row r="34" spans="1:31" ht="17.25" customHeight="1" hidden="1">
      <c r="A34" s="648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07"/>
      <c r="Q34" s="812" t="e">
        <f t="shared" si="0"/>
        <v>#DIV/0!</v>
      </c>
      <c r="R34" s="410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408"/>
      <c r="AD34" s="82"/>
      <c r="AE34" s="572"/>
    </row>
    <row r="35" spans="1:31" ht="17.25" customHeight="1" hidden="1">
      <c r="A35" s="648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07"/>
      <c r="Q35" s="812" t="e">
        <f t="shared" si="0"/>
        <v>#DIV/0!</v>
      </c>
      <c r="R35" s="410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408"/>
      <c r="AD35" s="82"/>
      <c r="AE35" s="572"/>
    </row>
    <row r="36" spans="1:31" ht="17.25" customHeight="1" hidden="1">
      <c r="A36" s="648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07"/>
      <c r="Q36" s="812" t="e">
        <f t="shared" si="0"/>
        <v>#DIV/0!</v>
      </c>
      <c r="R36" s="410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408"/>
      <c r="AD36" s="82"/>
      <c r="AE36" s="572"/>
    </row>
    <row r="37" spans="1:31" ht="17.25" customHeight="1" hidden="1">
      <c r="A37" s="648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07"/>
      <c r="Q37" s="812" t="e">
        <f t="shared" si="0"/>
        <v>#DIV/0!</v>
      </c>
      <c r="R37" s="410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408"/>
      <c r="AD37" s="82"/>
      <c r="AE37" s="572"/>
    </row>
    <row r="38" spans="1:31" ht="17.25" customHeight="1">
      <c r="A38" s="648" t="s">
        <v>499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>
        <v>130000</v>
      </c>
      <c r="P38" s="407">
        <v>130000</v>
      </c>
      <c r="Q38" s="812">
        <f t="shared" si="0"/>
        <v>1</v>
      </c>
      <c r="R38" s="410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408"/>
      <c r="AD38" s="82"/>
      <c r="AE38" s="572"/>
    </row>
    <row r="39" spans="1:31" ht="17.25" customHeight="1">
      <c r="A39" s="648" t="s">
        <v>483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>
        <f>1150795+158412</f>
        <v>1309207</v>
      </c>
      <c r="P39" s="52"/>
      <c r="Q39" s="812">
        <f t="shared" si="0"/>
        <v>0</v>
      </c>
      <c r="R39" s="410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408"/>
      <c r="AD39" s="82"/>
      <c r="AE39" s="572"/>
    </row>
    <row r="40" spans="1:31" ht="17.25" customHeight="1">
      <c r="A40" s="49" t="s">
        <v>596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>
        <f>SUM(O41:O43)</f>
        <v>170000</v>
      </c>
      <c r="P40" s="52">
        <f>SUM(P41:P43)</f>
        <v>170000</v>
      </c>
      <c r="Q40" s="812">
        <f t="shared" si="0"/>
        <v>1</v>
      </c>
      <c r="R40" s="410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408"/>
      <c r="AD40" s="82"/>
      <c r="AE40" s="572"/>
    </row>
    <row r="41" spans="1:31" ht="17.25" customHeight="1">
      <c r="A41" s="648" t="s">
        <v>379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>
        <v>10000</v>
      </c>
      <c r="P41" s="52">
        <v>10000</v>
      </c>
      <c r="Q41" s="812">
        <f t="shared" si="0"/>
        <v>1</v>
      </c>
      <c r="R41" s="410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408"/>
      <c r="AD41" s="82"/>
      <c r="AE41" s="875"/>
    </row>
    <row r="42" spans="1:31" ht="17.25" customHeight="1">
      <c r="A42" s="648" t="s">
        <v>592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>
        <v>100000</v>
      </c>
      <c r="P42" s="52">
        <v>100000</v>
      </c>
      <c r="Q42" s="812">
        <f t="shared" si="0"/>
        <v>1</v>
      </c>
      <c r="R42" s="410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408"/>
      <c r="AD42" s="82"/>
      <c r="AE42" s="572"/>
    </row>
    <row r="43" spans="1:31" ht="17.25" customHeight="1">
      <c r="A43" s="648" t="s">
        <v>388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>
        <v>60000</v>
      </c>
      <c r="P43" s="52">
        <v>60000</v>
      </c>
      <c r="Q43" s="812">
        <f t="shared" si="0"/>
        <v>1</v>
      </c>
      <c r="R43" s="410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408"/>
      <c r="AD43" s="82"/>
      <c r="AE43" s="572"/>
    </row>
    <row r="44" spans="1:31" ht="17.25" customHeight="1" hidden="1">
      <c r="A44" s="648" t="s">
        <v>481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07"/>
      <c r="Q44" s="812" t="e">
        <f t="shared" si="0"/>
        <v>#DIV/0!</v>
      </c>
      <c r="R44" s="410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408"/>
      <c r="AD44" s="82"/>
      <c r="AE44" s="572"/>
    </row>
    <row r="45" spans="1:31" ht="17.25" customHeight="1" hidden="1">
      <c r="A45" s="648" t="s">
        <v>482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07"/>
      <c r="Q45" s="812" t="e">
        <f t="shared" si="0"/>
        <v>#DIV/0!</v>
      </c>
      <c r="R45" s="410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408"/>
      <c r="AD45" s="82"/>
      <c r="AE45" s="572"/>
    </row>
    <row r="46" spans="1:31" ht="17.25" customHeight="1">
      <c r="A46" s="49" t="s">
        <v>383</v>
      </c>
      <c r="B46" s="52"/>
      <c r="C46" s="52"/>
      <c r="D46" s="52"/>
      <c r="E46" s="52"/>
      <c r="F46" s="52"/>
      <c r="G46" s="52"/>
      <c r="H46" s="52"/>
      <c r="I46" s="52"/>
      <c r="J46" s="52">
        <v>200000</v>
      </c>
      <c r="K46" s="52">
        <v>200000</v>
      </c>
      <c r="L46" s="52">
        <v>200000</v>
      </c>
      <c r="M46" s="52">
        <v>200000</v>
      </c>
      <c r="N46" s="52">
        <v>200000</v>
      </c>
      <c r="O46" s="52">
        <v>200000</v>
      </c>
      <c r="P46" s="407">
        <v>200000</v>
      </c>
      <c r="Q46" s="812">
        <f t="shared" si="0"/>
        <v>1</v>
      </c>
      <c r="R46" s="410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408"/>
      <c r="AD46" s="82"/>
      <c r="AE46" s="572"/>
    </row>
    <row r="47" spans="1:31" ht="17.25" customHeight="1">
      <c r="A47" s="49" t="s">
        <v>381</v>
      </c>
      <c r="B47" s="52"/>
      <c r="C47" s="52"/>
      <c r="D47" s="52"/>
      <c r="E47" s="52"/>
      <c r="F47" s="52"/>
      <c r="G47" s="52"/>
      <c r="H47" s="52"/>
      <c r="I47" s="52"/>
      <c r="J47" s="52">
        <v>300000</v>
      </c>
      <c r="K47" s="52">
        <v>300000</v>
      </c>
      <c r="L47" s="52">
        <v>300000</v>
      </c>
      <c r="M47" s="52">
        <v>300000</v>
      </c>
      <c r="N47" s="52">
        <v>300000</v>
      </c>
      <c r="O47" s="52">
        <v>300000</v>
      </c>
      <c r="P47" s="407">
        <v>300000</v>
      </c>
      <c r="Q47" s="812">
        <f t="shared" si="0"/>
        <v>1</v>
      </c>
      <c r="R47" s="410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408"/>
      <c r="AD47" s="82"/>
      <c r="AE47" s="572"/>
    </row>
    <row r="48" spans="1:31" ht="17.25" customHeight="1">
      <c r="A48" s="49" t="s">
        <v>482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>
        <v>10000</v>
      </c>
      <c r="M48" s="52">
        <v>10000</v>
      </c>
      <c r="N48" s="52">
        <v>10000</v>
      </c>
      <c r="O48" s="52">
        <v>10000</v>
      </c>
      <c r="P48" s="407">
        <v>10000</v>
      </c>
      <c r="Q48" s="812">
        <f t="shared" si="0"/>
        <v>1</v>
      </c>
      <c r="R48" s="410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408"/>
      <c r="AD48" s="82"/>
      <c r="AE48" s="572"/>
    </row>
    <row r="49" spans="1:31" ht="17.25" customHeight="1">
      <c r="A49" s="49" t="s">
        <v>574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>
        <v>30000</v>
      </c>
      <c r="N49" s="52">
        <v>30000</v>
      </c>
      <c r="O49" s="52">
        <v>30000</v>
      </c>
      <c r="P49" s="407">
        <v>30000</v>
      </c>
      <c r="Q49" s="812">
        <f t="shared" si="0"/>
        <v>1</v>
      </c>
      <c r="R49" s="410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408"/>
      <c r="AD49" s="82"/>
      <c r="AE49" s="572"/>
    </row>
    <row r="50" spans="1:31" ht="17.25" customHeight="1">
      <c r="A50" s="49" t="s">
        <v>575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>
        <v>200000</v>
      </c>
      <c r="N50" s="52">
        <v>200000</v>
      </c>
      <c r="O50" s="52">
        <v>200000</v>
      </c>
      <c r="P50" s="407">
        <v>200000</v>
      </c>
      <c r="Q50" s="812">
        <f t="shared" si="0"/>
        <v>1</v>
      </c>
      <c r="R50" s="410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408"/>
      <c r="AD50" s="82"/>
      <c r="AE50" s="572"/>
    </row>
    <row r="51" spans="1:31" ht="17.25" customHeight="1">
      <c r="A51" s="49" t="s">
        <v>498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>
        <f>4*3120</f>
        <v>12480</v>
      </c>
      <c r="P51" s="407">
        <v>12480</v>
      </c>
      <c r="Q51" s="812">
        <f t="shared" si="0"/>
        <v>1</v>
      </c>
      <c r="R51" s="410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408"/>
      <c r="AD51" s="82"/>
      <c r="AE51" s="572"/>
    </row>
    <row r="52" spans="1:31" ht="17.25" customHeight="1">
      <c r="A52" s="49" t="s">
        <v>499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>
        <v>200000</v>
      </c>
      <c r="P52" s="407">
        <v>200000</v>
      </c>
      <c r="Q52" s="812">
        <f t="shared" si="0"/>
        <v>1</v>
      </c>
      <c r="R52" s="410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408"/>
      <c r="AD52" s="82"/>
      <c r="AE52" s="572"/>
    </row>
    <row r="53" spans="1:31" ht="17.25" customHeight="1" hidden="1">
      <c r="A53" s="49" t="s">
        <v>391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07"/>
      <c r="Q53" s="812"/>
      <c r="R53" s="410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408"/>
      <c r="AD53" s="82"/>
      <c r="AE53" s="572"/>
    </row>
    <row r="54" spans="1:31" ht="17.25" customHeight="1" hidden="1">
      <c r="A54" s="49" t="s">
        <v>383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07"/>
      <c r="Q54" s="812"/>
      <c r="R54" s="410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408"/>
      <c r="AD54" s="82"/>
      <c r="AE54" s="572"/>
    </row>
    <row r="55" spans="1:31" s="19" customFormat="1" ht="18" hidden="1">
      <c r="A55" s="49" t="s">
        <v>226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07"/>
      <c r="Q55" s="812"/>
      <c r="R55" s="411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407"/>
      <c r="AD55" s="82"/>
      <c r="AE55" s="573"/>
    </row>
    <row r="56" spans="1:31" ht="18" hidden="1">
      <c r="A56" s="48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408"/>
      <c r="Q56" s="812"/>
      <c r="R56" s="411"/>
      <c r="S56" s="52"/>
      <c r="T56" s="52"/>
      <c r="U56" s="52"/>
      <c r="V56" s="52"/>
      <c r="W56" s="55"/>
      <c r="X56" s="55"/>
      <c r="Y56" s="55"/>
      <c r="Z56" s="55"/>
      <c r="AA56" s="55"/>
      <c r="AB56" s="55"/>
      <c r="AC56" s="408"/>
      <c r="AD56" s="54"/>
      <c r="AE56" s="572"/>
    </row>
    <row r="57" spans="1:31" ht="18" hidden="1">
      <c r="A57" s="48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408"/>
      <c r="Q57" s="812"/>
      <c r="R57" s="411"/>
      <c r="S57" s="52"/>
      <c r="T57" s="52"/>
      <c r="U57" s="52"/>
      <c r="V57" s="52"/>
      <c r="W57" s="55"/>
      <c r="X57" s="55"/>
      <c r="Y57" s="55"/>
      <c r="Z57" s="55"/>
      <c r="AA57" s="55"/>
      <c r="AB57" s="55"/>
      <c r="AC57" s="408"/>
      <c r="AD57" s="54"/>
      <c r="AE57" s="572"/>
    </row>
    <row r="58" spans="1:31" ht="23.25" customHeight="1" thickBot="1">
      <c r="A58" s="50" t="s">
        <v>1</v>
      </c>
      <c r="B58" s="56">
        <f aca="true" t="shared" si="1" ref="B58:L58">SUM(B10:B57)</f>
        <v>0</v>
      </c>
      <c r="C58" s="56">
        <f t="shared" si="1"/>
        <v>0</v>
      </c>
      <c r="D58" s="56">
        <f t="shared" si="1"/>
        <v>0</v>
      </c>
      <c r="E58" s="56">
        <f t="shared" si="1"/>
        <v>0</v>
      </c>
      <c r="F58" s="56">
        <f t="shared" si="1"/>
        <v>0</v>
      </c>
      <c r="G58" s="56">
        <f t="shared" si="1"/>
        <v>0</v>
      </c>
      <c r="H58" s="56"/>
      <c r="I58" s="56">
        <f t="shared" si="1"/>
        <v>0</v>
      </c>
      <c r="J58" s="56">
        <f t="shared" si="1"/>
        <v>10018325</v>
      </c>
      <c r="K58" s="56">
        <f t="shared" si="1"/>
        <v>10018325</v>
      </c>
      <c r="L58" s="56">
        <f t="shared" si="1"/>
        <v>10028325</v>
      </c>
      <c r="M58" s="56">
        <f>SUM(M10:M17,M40,M46:M50)</f>
        <v>10258325</v>
      </c>
      <c r="N58" s="56">
        <f>SUM(N10:N17,N40,N46:N50)</f>
        <v>10258325</v>
      </c>
      <c r="O58" s="56">
        <f>SUM(O10:O17,O40,O46:O52)</f>
        <v>10258325</v>
      </c>
      <c r="P58" s="56">
        <f>SUM(P10:P17,P40,P46:P52)</f>
        <v>8789118</v>
      </c>
      <c r="Q58" s="817">
        <f>P58/O58</f>
        <v>0.8567790550601585</v>
      </c>
      <c r="R58" s="814">
        <f aca="true" t="shared" si="2" ref="R58:Z58">SUM(R10:R57)</f>
        <v>0</v>
      </c>
      <c r="S58" s="56">
        <f t="shared" si="2"/>
        <v>0</v>
      </c>
      <c r="T58" s="56">
        <f t="shared" si="2"/>
        <v>0</v>
      </c>
      <c r="U58" s="56">
        <f t="shared" si="2"/>
        <v>0</v>
      </c>
      <c r="V58" s="56">
        <f t="shared" si="2"/>
        <v>0</v>
      </c>
      <c r="W58" s="56">
        <f t="shared" si="2"/>
        <v>5000000</v>
      </c>
      <c r="X58" s="56">
        <f t="shared" si="2"/>
        <v>5000000</v>
      </c>
      <c r="Y58" s="56">
        <f t="shared" si="2"/>
        <v>5000000</v>
      </c>
      <c r="Z58" s="56">
        <f t="shared" si="2"/>
        <v>5000000</v>
      </c>
      <c r="AA58" s="56">
        <f>SUM(AA10:AA57)</f>
        <v>5000000</v>
      </c>
      <c r="AB58" s="56">
        <f>SUM(AB10:AB57)</f>
        <v>5450000</v>
      </c>
      <c r="AC58" s="56">
        <f>SUM(AC10:AC57)</f>
        <v>5450000</v>
      </c>
      <c r="AD58" s="817">
        <f>AC58/AB58</f>
        <v>1</v>
      </c>
      <c r="AE58" s="813"/>
    </row>
    <row r="59" spans="1:30" ht="15">
      <c r="A59" s="47"/>
      <c r="B59" s="14"/>
      <c r="C59" s="14"/>
      <c r="D59" s="14"/>
      <c r="E59" s="14"/>
      <c r="F59" s="14"/>
      <c r="G59" s="14"/>
      <c r="H59" s="14"/>
      <c r="I59" s="14"/>
      <c r="J59" s="302"/>
      <c r="K59" s="302"/>
      <c r="L59" s="302"/>
      <c r="M59" s="302"/>
      <c r="N59" s="1000"/>
      <c r="O59" s="302"/>
      <c r="P59" s="302"/>
      <c r="Q59" s="302"/>
      <c r="R59" s="302"/>
      <c r="S59" s="14"/>
      <c r="T59" s="14"/>
      <c r="U59" s="14"/>
      <c r="V59" s="14"/>
      <c r="W59" s="302"/>
      <c r="AA59" s="405"/>
      <c r="AB59" s="405"/>
      <c r="AC59" s="405"/>
      <c r="AD59" s="405"/>
    </row>
    <row r="60" spans="1:23" ht="14.25">
      <c r="A60" s="1448" t="s">
        <v>229</v>
      </c>
      <c r="B60" s="1448"/>
      <c r="C60" s="1448"/>
      <c r="D60" s="1448"/>
      <c r="E60" s="1448"/>
      <c r="F60" s="1448"/>
      <c r="G60" s="1448"/>
      <c r="H60" s="1448"/>
      <c r="I60" s="1448"/>
      <c r="J60" s="1448"/>
      <c r="K60" s="1448"/>
      <c r="L60" s="1448"/>
      <c r="M60" s="1448"/>
      <c r="N60" s="1448"/>
      <c r="O60" s="1448"/>
      <c r="P60" s="1448"/>
      <c r="Q60" s="1448"/>
      <c r="R60" s="1448"/>
      <c r="S60" s="1448"/>
      <c r="T60" s="1448"/>
      <c r="U60" s="1448"/>
      <c r="V60" s="1448"/>
      <c r="W60" s="1448"/>
    </row>
    <row r="61" ht="13.5" thickBot="1">
      <c r="W61" s="12"/>
    </row>
    <row r="62" spans="1:31" ht="29.25" customHeight="1">
      <c r="A62" s="1449" t="s">
        <v>228</v>
      </c>
      <c r="B62" s="1451" t="s">
        <v>24</v>
      </c>
      <c r="C62" s="1452"/>
      <c r="D62" s="1452"/>
      <c r="E62" s="1452"/>
      <c r="F62" s="1452"/>
      <c r="G62" s="1452"/>
      <c r="H62" s="1452"/>
      <c r="I62" s="1452"/>
      <c r="J62" s="1452"/>
      <c r="K62" s="1452"/>
      <c r="L62" s="1452"/>
      <c r="M62" s="1452"/>
      <c r="N62" s="1452"/>
      <c r="O62" s="1452"/>
      <c r="P62" s="1452"/>
      <c r="Q62" s="1452"/>
      <c r="R62" s="1453" t="s">
        <v>25</v>
      </c>
      <c r="S62" s="1454"/>
      <c r="T62" s="1454"/>
      <c r="U62" s="1454"/>
      <c r="V62" s="1454"/>
      <c r="W62" s="1454"/>
      <c r="X62" s="1454"/>
      <c r="Y62" s="1454"/>
      <c r="Z62" s="1454"/>
      <c r="AA62" s="1454"/>
      <c r="AB62" s="1451"/>
      <c r="AC62" s="1451"/>
      <c r="AD62" s="1455"/>
      <c r="AE62" s="572"/>
    </row>
    <row r="63" spans="1:31" ht="29.25" customHeight="1">
      <c r="A63" s="1450"/>
      <c r="B63" s="1456" t="s">
        <v>67</v>
      </c>
      <c r="C63" s="1457"/>
      <c r="D63" s="1457"/>
      <c r="E63" s="1457"/>
      <c r="F63" s="1457"/>
      <c r="G63" s="1457"/>
      <c r="H63" s="1457"/>
      <c r="I63" s="1458"/>
      <c r="J63" s="1456" t="s">
        <v>68</v>
      </c>
      <c r="K63" s="1457"/>
      <c r="L63" s="1457"/>
      <c r="M63" s="1457"/>
      <c r="N63" s="1457"/>
      <c r="O63" s="1457"/>
      <c r="P63" s="1457"/>
      <c r="Q63" s="1457"/>
      <c r="R63" s="1459" t="s">
        <v>67</v>
      </c>
      <c r="S63" s="1460"/>
      <c r="T63" s="1460"/>
      <c r="U63" s="1460"/>
      <c r="V63" s="1460"/>
      <c r="W63" s="1460" t="s">
        <v>68</v>
      </c>
      <c r="X63" s="1460"/>
      <c r="Y63" s="1460"/>
      <c r="Z63" s="1460"/>
      <c r="AA63" s="1460"/>
      <c r="AB63" s="1456"/>
      <c r="AC63" s="1456"/>
      <c r="AD63" s="1461"/>
      <c r="AE63" s="572"/>
    </row>
    <row r="64" spans="1:31" ht="29.25" customHeight="1">
      <c r="A64" s="317"/>
      <c r="B64" s="318" t="s">
        <v>238</v>
      </c>
      <c r="C64" s="318" t="s">
        <v>236</v>
      </c>
      <c r="D64" s="574" t="s">
        <v>241</v>
      </c>
      <c r="E64" s="318" t="s">
        <v>244</v>
      </c>
      <c r="F64" s="318" t="s">
        <v>490</v>
      </c>
      <c r="G64" s="318" t="s">
        <v>496</v>
      </c>
      <c r="H64" s="1017" t="s">
        <v>432</v>
      </c>
      <c r="I64" s="1017" t="s">
        <v>247</v>
      </c>
      <c r="J64" s="1017" t="s">
        <v>238</v>
      </c>
      <c r="K64" s="868" t="s">
        <v>236</v>
      </c>
      <c r="L64" s="873" t="s">
        <v>241</v>
      </c>
      <c r="M64" s="874" t="s">
        <v>244</v>
      </c>
      <c r="N64" s="318" t="s">
        <v>490</v>
      </c>
      <c r="O64" s="895" t="s">
        <v>496</v>
      </c>
      <c r="P64" s="1017" t="s">
        <v>432</v>
      </c>
      <c r="Q64" s="868" t="s">
        <v>247</v>
      </c>
      <c r="R64" s="869" t="s">
        <v>238</v>
      </c>
      <c r="S64" s="318" t="s">
        <v>236</v>
      </c>
      <c r="T64" s="574" t="s">
        <v>241</v>
      </c>
      <c r="U64" s="318" t="s">
        <v>244</v>
      </c>
      <c r="V64" s="318" t="s">
        <v>432</v>
      </c>
      <c r="W64" s="318" t="s">
        <v>238</v>
      </c>
      <c r="X64" s="318" t="s">
        <v>236</v>
      </c>
      <c r="Y64" s="574" t="s">
        <v>241</v>
      </c>
      <c r="Z64" s="318" t="s">
        <v>244</v>
      </c>
      <c r="AA64" s="318" t="s">
        <v>490</v>
      </c>
      <c r="AB64" s="895" t="s">
        <v>496</v>
      </c>
      <c r="AC64" s="1017" t="s">
        <v>432</v>
      </c>
      <c r="AD64" s="868" t="s">
        <v>247</v>
      </c>
      <c r="AE64" s="572"/>
    </row>
    <row r="65" spans="1:31" ht="30.75">
      <c r="A65" s="48" t="s">
        <v>255</v>
      </c>
      <c r="B65" s="55">
        <v>353080</v>
      </c>
      <c r="C65" s="55">
        <v>353080</v>
      </c>
      <c r="D65" s="55">
        <v>353080</v>
      </c>
      <c r="E65" s="55">
        <v>353080</v>
      </c>
      <c r="F65" s="55">
        <v>353080</v>
      </c>
      <c r="G65" s="55">
        <v>348530</v>
      </c>
      <c r="H65" s="408">
        <v>348530</v>
      </c>
      <c r="I65" s="812">
        <f>H65/G65</f>
        <v>1</v>
      </c>
      <c r="J65" s="55"/>
      <c r="K65" s="55"/>
      <c r="L65" s="55"/>
      <c r="M65" s="55"/>
      <c r="N65" s="408"/>
      <c r="O65" s="408"/>
      <c r="P65" s="408"/>
      <c r="Q65" s="408"/>
      <c r="R65" s="411"/>
      <c r="S65" s="52"/>
      <c r="T65" s="52"/>
      <c r="U65" s="52"/>
      <c r="V65" s="52"/>
      <c r="W65" s="55"/>
      <c r="X65" s="55"/>
      <c r="Y65" s="55"/>
      <c r="Z65" s="55"/>
      <c r="AA65" s="52"/>
      <c r="AB65" s="407"/>
      <c r="AC65" s="407"/>
      <c r="AD65" s="82"/>
      <c r="AE65" s="572"/>
    </row>
    <row r="66" spans="1:31" ht="18">
      <c r="A66" s="48" t="s">
        <v>497</v>
      </c>
      <c r="B66" s="83"/>
      <c r="C66" s="83"/>
      <c r="D66" s="83"/>
      <c r="E66" s="83"/>
      <c r="F66" s="83"/>
      <c r="G66" s="83"/>
      <c r="H66" s="412"/>
      <c r="I66" s="812"/>
      <c r="J66" s="83"/>
      <c r="K66" s="83"/>
      <c r="L66" s="83"/>
      <c r="M66" s="83"/>
      <c r="N66" s="412"/>
      <c r="O66" s="1001">
        <v>6000</v>
      </c>
      <c r="P66" s="1001">
        <v>6000</v>
      </c>
      <c r="Q66" s="812">
        <f>P66/O66</f>
        <v>1</v>
      </c>
      <c r="R66" s="411"/>
      <c r="S66" s="52"/>
      <c r="T66" s="52"/>
      <c r="U66" s="52"/>
      <c r="V66" s="52"/>
      <c r="W66" s="55"/>
      <c r="X66" s="55"/>
      <c r="Y66" s="55"/>
      <c r="Z66" s="55"/>
      <c r="AA66" s="52"/>
      <c r="AB66" s="407"/>
      <c r="AC66" s="407"/>
      <c r="AD66" s="82"/>
      <c r="AE66" s="572"/>
    </row>
    <row r="67" spans="1:31" ht="18">
      <c r="A67" s="84" t="s">
        <v>591</v>
      </c>
      <c r="B67" s="83"/>
      <c r="C67" s="83"/>
      <c r="D67" s="83"/>
      <c r="E67" s="83"/>
      <c r="F67" s="83"/>
      <c r="G67" s="83"/>
      <c r="H67" s="83"/>
      <c r="I67" s="83"/>
      <c r="J67" s="83">
        <v>134050</v>
      </c>
      <c r="K67" s="83">
        <v>134050</v>
      </c>
      <c r="L67" s="83">
        <v>134050</v>
      </c>
      <c r="M67" s="83">
        <v>134050</v>
      </c>
      <c r="N67" s="83">
        <v>134050</v>
      </c>
      <c r="O67" s="1002">
        <v>142093</v>
      </c>
      <c r="P67" s="1002">
        <v>142093</v>
      </c>
      <c r="Q67" s="812">
        <f>P67/O67</f>
        <v>1</v>
      </c>
      <c r="R67" s="411"/>
      <c r="S67" s="52"/>
      <c r="T67" s="52"/>
      <c r="U67" s="52"/>
      <c r="V67" s="52"/>
      <c r="W67" s="55"/>
      <c r="X67" s="55"/>
      <c r="Y67" s="55"/>
      <c r="Z67" s="55"/>
      <c r="AA67" s="52"/>
      <c r="AB67" s="407"/>
      <c r="AC67" s="407"/>
      <c r="AD67" s="82"/>
      <c r="AE67" s="572"/>
    </row>
    <row r="68" spans="1:31" ht="18">
      <c r="A68" s="84" t="s">
        <v>590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1002">
        <f>72414*4</f>
        <v>289656</v>
      </c>
      <c r="P68" s="1002">
        <f>72414*4</f>
        <v>289656</v>
      </c>
      <c r="Q68" s="812">
        <f>P68/O68</f>
        <v>1</v>
      </c>
      <c r="R68" s="411"/>
      <c r="S68" s="52"/>
      <c r="T68" s="52"/>
      <c r="U68" s="52"/>
      <c r="V68" s="52"/>
      <c r="W68" s="55"/>
      <c r="X68" s="55"/>
      <c r="Y68" s="55"/>
      <c r="Z68" s="55"/>
      <c r="AA68" s="52"/>
      <c r="AB68" s="407"/>
      <c r="AC68" s="407"/>
      <c r="AD68" s="82"/>
      <c r="AE68" s="572"/>
    </row>
    <row r="69" spans="1:31" ht="18">
      <c r="A69" s="84" t="s">
        <v>231</v>
      </c>
      <c r="B69" s="83"/>
      <c r="C69" s="83"/>
      <c r="D69" s="83"/>
      <c r="E69" s="83"/>
      <c r="F69" s="83"/>
      <c r="G69" s="83"/>
      <c r="H69" s="83"/>
      <c r="I69" s="83"/>
      <c r="J69" s="83">
        <v>308914</v>
      </c>
      <c r="K69" s="83">
        <v>308914</v>
      </c>
      <c r="L69" s="83">
        <v>308914</v>
      </c>
      <c r="M69" s="83">
        <v>308914</v>
      </c>
      <c r="N69" s="83">
        <v>308914</v>
      </c>
      <c r="O69" s="1002">
        <f>154458*2-1</f>
        <v>308915</v>
      </c>
      <c r="P69" s="1002">
        <f>154458*2-1</f>
        <v>308915</v>
      </c>
      <c r="Q69" s="812">
        <f>P69/O69</f>
        <v>1</v>
      </c>
      <c r="R69" s="411"/>
      <c r="S69" s="52"/>
      <c r="T69" s="52"/>
      <c r="U69" s="52"/>
      <c r="V69" s="52"/>
      <c r="W69" s="55"/>
      <c r="X69" s="55"/>
      <c r="Y69" s="55"/>
      <c r="Z69" s="55"/>
      <c r="AA69" s="52"/>
      <c r="AB69" s="407"/>
      <c r="AC69" s="407"/>
      <c r="AD69" s="82"/>
      <c r="AE69" s="572"/>
    </row>
    <row r="70" spans="1:31" ht="18">
      <c r="A70" s="84" t="s">
        <v>355</v>
      </c>
      <c r="B70" s="83"/>
      <c r="C70" s="83"/>
      <c r="D70" s="83"/>
      <c r="E70" s="83"/>
      <c r="F70" s="83"/>
      <c r="G70" s="83"/>
      <c r="H70" s="83"/>
      <c r="I70" s="83"/>
      <c r="J70" s="83">
        <v>53620</v>
      </c>
      <c r="K70" s="83">
        <v>53620</v>
      </c>
      <c r="L70" s="83">
        <v>53620</v>
      </c>
      <c r="M70" s="83">
        <v>53620</v>
      </c>
      <c r="N70" s="83">
        <v>53620</v>
      </c>
      <c r="O70" s="1002">
        <v>53620</v>
      </c>
      <c r="P70" s="1002">
        <v>53620</v>
      </c>
      <c r="Q70" s="812">
        <f>P70/O70</f>
        <v>1</v>
      </c>
      <c r="R70" s="411"/>
      <c r="S70" s="52"/>
      <c r="T70" s="52"/>
      <c r="U70" s="52"/>
      <c r="V70" s="52"/>
      <c r="W70" s="55"/>
      <c r="X70" s="55"/>
      <c r="Y70" s="55"/>
      <c r="Z70" s="55"/>
      <c r="AA70" s="52"/>
      <c r="AB70" s="407"/>
      <c r="AC70" s="407"/>
      <c r="AD70" s="82"/>
      <c r="AE70" s="572"/>
    </row>
    <row r="71" spans="1:31" ht="18">
      <c r="A71" s="84" t="s">
        <v>232</v>
      </c>
      <c r="B71" s="83"/>
      <c r="C71" s="83"/>
      <c r="D71" s="83"/>
      <c r="E71" s="83"/>
      <c r="F71" s="83"/>
      <c r="G71" s="83"/>
      <c r="H71" s="83"/>
      <c r="I71" s="83"/>
      <c r="J71" s="83">
        <v>56480</v>
      </c>
      <c r="K71" s="83">
        <v>56480</v>
      </c>
      <c r="L71" s="83">
        <v>56480</v>
      </c>
      <c r="M71" s="83">
        <v>56480</v>
      </c>
      <c r="N71" s="83">
        <v>56480</v>
      </c>
      <c r="O71" s="83">
        <v>0</v>
      </c>
      <c r="P71" s="412"/>
      <c r="Q71" s="812"/>
      <c r="R71" s="411"/>
      <c r="S71" s="52"/>
      <c r="T71" s="52"/>
      <c r="U71" s="52"/>
      <c r="V71" s="52"/>
      <c r="W71" s="55"/>
      <c r="X71" s="55"/>
      <c r="Y71" s="55"/>
      <c r="Z71" s="55"/>
      <c r="AA71" s="52"/>
      <c r="AB71" s="407"/>
      <c r="AC71" s="407"/>
      <c r="AD71" s="82"/>
      <c r="AE71" s="572"/>
    </row>
    <row r="72" spans="1:31" ht="18">
      <c r="A72" s="84" t="s">
        <v>233</v>
      </c>
      <c r="B72" s="83"/>
      <c r="C72" s="83"/>
      <c r="D72" s="83"/>
      <c r="E72" s="83"/>
      <c r="F72" s="83"/>
      <c r="G72" s="83"/>
      <c r="H72" s="83"/>
      <c r="I72" s="83"/>
      <c r="J72" s="83">
        <v>86670</v>
      </c>
      <c r="K72" s="83">
        <v>86670</v>
      </c>
      <c r="L72" s="83">
        <v>86670</v>
      </c>
      <c r="M72" s="83">
        <v>86670</v>
      </c>
      <c r="N72" s="83">
        <v>86670</v>
      </c>
      <c r="O72" s="83">
        <v>0</v>
      </c>
      <c r="P72" s="412"/>
      <c r="Q72" s="812"/>
      <c r="R72" s="411"/>
      <c r="S72" s="52"/>
      <c r="T72" s="52"/>
      <c r="U72" s="52"/>
      <c r="V72" s="52"/>
      <c r="W72" s="55"/>
      <c r="X72" s="55"/>
      <c r="Y72" s="55"/>
      <c r="Z72" s="55"/>
      <c r="AA72" s="52"/>
      <c r="AB72" s="407"/>
      <c r="AC72" s="407"/>
      <c r="AD72" s="82"/>
      <c r="AE72" s="572"/>
    </row>
    <row r="73" spans="1:31" ht="18">
      <c r="A73" s="84" t="s">
        <v>234</v>
      </c>
      <c r="B73" s="83"/>
      <c r="C73" s="83"/>
      <c r="D73" s="83"/>
      <c r="E73" s="83"/>
      <c r="F73" s="83"/>
      <c r="G73" s="83"/>
      <c r="H73" s="83"/>
      <c r="I73" s="83"/>
      <c r="J73" s="83">
        <v>54900</v>
      </c>
      <c r="K73" s="83">
        <v>54900</v>
      </c>
      <c r="L73" s="83">
        <v>54900</v>
      </c>
      <c r="M73" s="83">
        <v>54900</v>
      </c>
      <c r="N73" s="83">
        <v>54900</v>
      </c>
      <c r="O73" s="83">
        <v>0</v>
      </c>
      <c r="P73" s="412"/>
      <c r="Q73" s="812"/>
      <c r="R73" s="411"/>
      <c r="S73" s="52"/>
      <c r="T73" s="52"/>
      <c r="U73" s="52"/>
      <c r="V73" s="52"/>
      <c r="W73" s="55"/>
      <c r="X73" s="55"/>
      <c r="Y73" s="55"/>
      <c r="Z73" s="55"/>
      <c r="AA73" s="52"/>
      <c r="AB73" s="407"/>
      <c r="AC73" s="407"/>
      <c r="AD73" s="82"/>
      <c r="AE73" s="572"/>
    </row>
    <row r="74" spans="1:31" ht="18">
      <c r="A74" s="84" t="s">
        <v>235</v>
      </c>
      <c r="B74" s="83"/>
      <c r="C74" s="83"/>
      <c r="D74" s="83"/>
      <c r="E74" s="83"/>
      <c r="F74" s="83"/>
      <c r="G74" s="83"/>
      <c r="H74" s="83"/>
      <c r="I74" s="83"/>
      <c r="J74" s="83">
        <v>86670</v>
      </c>
      <c r="K74" s="83">
        <v>86670</v>
      </c>
      <c r="L74" s="83">
        <v>86670</v>
      </c>
      <c r="M74" s="83">
        <v>86670</v>
      </c>
      <c r="N74" s="83">
        <v>86670</v>
      </c>
      <c r="O74" s="83">
        <v>0</v>
      </c>
      <c r="P74" s="412"/>
      <c r="Q74" s="812"/>
      <c r="R74" s="411"/>
      <c r="S74" s="52"/>
      <c r="T74" s="52"/>
      <c r="U74" s="52"/>
      <c r="V74" s="52"/>
      <c r="W74" s="55"/>
      <c r="X74" s="55"/>
      <c r="Y74" s="55"/>
      <c r="Z74" s="55"/>
      <c r="AA74" s="52"/>
      <c r="AB74" s="407"/>
      <c r="AC74" s="407"/>
      <c r="AD74" s="82"/>
      <c r="AE74" s="572"/>
    </row>
    <row r="75" spans="1:31" ht="18">
      <c r="A75" s="84" t="s">
        <v>470</v>
      </c>
      <c r="B75" s="83"/>
      <c r="C75" s="83"/>
      <c r="D75" s="83"/>
      <c r="E75" s="83"/>
      <c r="F75" s="83"/>
      <c r="G75" s="83"/>
      <c r="H75" s="83"/>
      <c r="I75" s="83"/>
      <c r="J75" s="83">
        <v>244440</v>
      </c>
      <c r="K75" s="83">
        <v>244440</v>
      </c>
      <c r="L75" s="83">
        <v>244440</v>
      </c>
      <c r="M75" s="83">
        <v>244440</v>
      </c>
      <c r="N75" s="83">
        <v>244440</v>
      </c>
      <c r="O75" s="83">
        <v>0</v>
      </c>
      <c r="P75" s="412"/>
      <c r="Q75" s="812"/>
      <c r="R75" s="411"/>
      <c r="S75" s="52"/>
      <c r="T75" s="52"/>
      <c r="U75" s="52"/>
      <c r="V75" s="52"/>
      <c r="W75" s="55"/>
      <c r="X75" s="55"/>
      <c r="Y75" s="55"/>
      <c r="Z75" s="55"/>
      <c r="AA75" s="52"/>
      <c r="AB75" s="407"/>
      <c r="AC75" s="407"/>
      <c r="AD75" s="82"/>
      <c r="AE75" s="572"/>
    </row>
    <row r="76" spans="1:31" ht="39" customHeight="1">
      <c r="A76" s="84" t="s">
        <v>242</v>
      </c>
      <c r="B76" s="83">
        <v>131891171</v>
      </c>
      <c r="C76" s="83">
        <f>131891171</f>
        <v>131891171</v>
      </c>
      <c r="D76" s="83">
        <f>131891171</f>
        <v>131891171</v>
      </c>
      <c r="E76" s="83">
        <f>131891171</f>
        <v>131891171</v>
      </c>
      <c r="F76" s="83">
        <f>131891171-3611000</f>
        <v>128280171</v>
      </c>
      <c r="G76" s="83">
        <f>129524821-8043</f>
        <v>129516778</v>
      </c>
      <c r="H76" s="412">
        <v>129516778</v>
      </c>
      <c r="I76" s="812">
        <f>H76/G76</f>
        <v>1</v>
      </c>
      <c r="J76" s="83"/>
      <c r="K76" s="83"/>
      <c r="L76" s="83"/>
      <c r="M76" s="83"/>
      <c r="N76" s="83"/>
      <c r="O76" s="83"/>
      <c r="P76" s="412"/>
      <c r="Q76" s="412"/>
      <c r="R76" s="411"/>
      <c r="S76" s="52"/>
      <c r="T76" s="52"/>
      <c r="U76" s="52"/>
      <c r="V76" s="52"/>
      <c r="W76" s="55"/>
      <c r="X76" s="55"/>
      <c r="Y76" s="55"/>
      <c r="Z76" s="55"/>
      <c r="AA76" s="52"/>
      <c r="AB76" s="407"/>
      <c r="AC76" s="407"/>
      <c r="AD76" s="82"/>
      <c r="AE76" s="572"/>
    </row>
    <row r="77" spans="1:31" ht="18">
      <c r="A77" s="84" t="s">
        <v>252</v>
      </c>
      <c r="B77" s="83"/>
      <c r="C77" s="83"/>
      <c r="D77" s="83"/>
      <c r="E77" s="83"/>
      <c r="F77" s="83"/>
      <c r="G77" s="83"/>
      <c r="H77" s="83"/>
      <c r="I77" s="83"/>
      <c r="J77" s="83">
        <v>12000</v>
      </c>
      <c r="K77" s="83">
        <v>12000</v>
      </c>
      <c r="L77" s="83">
        <v>12000</v>
      </c>
      <c r="M77" s="83">
        <v>12000</v>
      </c>
      <c r="N77" s="83">
        <v>12000</v>
      </c>
      <c r="O77" s="83"/>
      <c r="P77" s="412"/>
      <c r="Q77" s="412"/>
      <c r="R77" s="411"/>
      <c r="S77" s="52"/>
      <c r="T77" s="52"/>
      <c r="U77" s="52"/>
      <c r="V77" s="52"/>
      <c r="W77" s="55"/>
      <c r="X77" s="55"/>
      <c r="Y77" s="55"/>
      <c r="Z77" s="55"/>
      <c r="AA77" s="52"/>
      <c r="AB77" s="407"/>
      <c r="AC77" s="407"/>
      <c r="AD77" s="82"/>
      <c r="AE77" s="572"/>
    </row>
    <row r="78" spans="1:31" ht="18" hidden="1">
      <c r="A78" s="84" t="s">
        <v>253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412"/>
      <c r="Q78" s="412"/>
      <c r="R78" s="411"/>
      <c r="S78" s="52"/>
      <c r="T78" s="52"/>
      <c r="U78" s="52"/>
      <c r="V78" s="52"/>
      <c r="W78" s="55"/>
      <c r="X78" s="55"/>
      <c r="Y78" s="55"/>
      <c r="Z78" s="55"/>
      <c r="AA78" s="52"/>
      <c r="AB78" s="407"/>
      <c r="AC78" s="407"/>
      <c r="AD78" s="82"/>
      <c r="AE78" s="572"/>
    </row>
    <row r="79" spans="1:31" ht="47.25" customHeight="1" hidden="1">
      <c r="A79" s="84" t="s">
        <v>254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412"/>
      <c r="Q79" s="412"/>
      <c r="R79" s="411"/>
      <c r="S79" s="52"/>
      <c r="T79" s="52"/>
      <c r="U79" s="52"/>
      <c r="V79" s="52"/>
      <c r="W79" s="55"/>
      <c r="X79" s="55"/>
      <c r="Y79" s="55"/>
      <c r="Z79" s="55"/>
      <c r="AA79" s="52"/>
      <c r="AB79" s="407"/>
      <c r="AC79" s="407"/>
      <c r="AD79" s="82"/>
      <c r="AE79" s="572"/>
    </row>
    <row r="80" spans="1:31" ht="39" customHeight="1" hidden="1">
      <c r="A80" s="25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412"/>
      <c r="Q80" s="412"/>
      <c r="R80" s="411"/>
      <c r="S80" s="52"/>
      <c r="T80" s="52"/>
      <c r="U80" s="52"/>
      <c r="V80" s="52"/>
      <c r="W80" s="55"/>
      <c r="X80" s="55"/>
      <c r="Y80" s="55"/>
      <c r="Z80" s="55"/>
      <c r="AA80" s="52"/>
      <c r="AB80" s="407"/>
      <c r="AC80" s="407"/>
      <c r="AD80" s="82"/>
      <c r="AE80" s="572"/>
    </row>
    <row r="81" spans="1:31" ht="39" customHeight="1" hidden="1">
      <c r="A81" s="257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412"/>
      <c r="Q81" s="412"/>
      <c r="R81" s="411"/>
      <c r="S81" s="52"/>
      <c r="T81" s="52"/>
      <c r="U81" s="52"/>
      <c r="V81" s="52"/>
      <c r="W81" s="55"/>
      <c r="X81" s="55"/>
      <c r="Y81" s="55"/>
      <c r="Z81" s="55"/>
      <c r="AA81" s="52"/>
      <c r="AB81" s="407"/>
      <c r="AC81" s="407"/>
      <c r="AD81" s="82"/>
      <c r="AE81" s="572"/>
    </row>
    <row r="82" spans="1:31" ht="39" customHeight="1" hidden="1">
      <c r="A82" s="25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412"/>
      <c r="Q82" s="412"/>
      <c r="R82" s="411"/>
      <c r="S82" s="52"/>
      <c r="T82" s="52"/>
      <c r="U82" s="52"/>
      <c r="V82" s="52"/>
      <c r="W82" s="55"/>
      <c r="X82" s="55"/>
      <c r="Y82" s="55"/>
      <c r="Z82" s="55"/>
      <c r="AA82" s="52"/>
      <c r="AB82" s="407"/>
      <c r="AC82" s="407"/>
      <c r="AD82" s="82"/>
      <c r="AE82" s="572"/>
    </row>
    <row r="83" spans="1:31" ht="39" customHeight="1" hidden="1">
      <c r="A83" s="257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412"/>
      <c r="Q83" s="412"/>
      <c r="R83" s="411"/>
      <c r="S83" s="52"/>
      <c r="T83" s="52"/>
      <c r="U83" s="52"/>
      <c r="V83" s="52"/>
      <c r="W83" s="55"/>
      <c r="X83" s="55"/>
      <c r="Y83" s="55"/>
      <c r="Z83" s="55"/>
      <c r="AA83" s="52"/>
      <c r="AB83" s="407"/>
      <c r="AC83" s="407"/>
      <c r="AD83" s="82"/>
      <c r="AE83" s="572"/>
    </row>
    <row r="84" spans="1:31" ht="39" customHeight="1" hidden="1">
      <c r="A84" s="25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412"/>
      <c r="Q84" s="412"/>
      <c r="R84" s="411"/>
      <c r="S84" s="52"/>
      <c r="T84" s="52"/>
      <c r="U84" s="52"/>
      <c r="V84" s="52"/>
      <c r="W84" s="55"/>
      <c r="X84" s="55"/>
      <c r="Y84" s="55"/>
      <c r="Z84" s="55"/>
      <c r="AA84" s="52"/>
      <c r="AB84" s="407"/>
      <c r="AC84" s="407"/>
      <c r="AD84" s="82"/>
      <c r="AE84" s="572"/>
    </row>
    <row r="85" spans="1:31" ht="39" customHeight="1" hidden="1">
      <c r="A85" s="257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412"/>
      <c r="Q85" s="412"/>
      <c r="R85" s="411"/>
      <c r="S85" s="52"/>
      <c r="T85" s="52"/>
      <c r="U85" s="52"/>
      <c r="V85" s="52"/>
      <c r="W85" s="55"/>
      <c r="X85" s="55"/>
      <c r="Y85" s="55"/>
      <c r="Z85" s="55"/>
      <c r="AA85" s="52"/>
      <c r="AB85" s="407"/>
      <c r="AC85" s="407"/>
      <c r="AD85" s="82"/>
      <c r="AE85" s="572"/>
    </row>
    <row r="86" spans="1:31" s="15" customFormat="1" ht="27" customHeight="1" thickBot="1">
      <c r="A86" s="51" t="s">
        <v>1</v>
      </c>
      <c r="B86" s="57">
        <f aca="true" t="shared" si="3" ref="B86:H86">SUM(B65:B80)</f>
        <v>132244251</v>
      </c>
      <c r="C86" s="57">
        <f t="shared" si="3"/>
        <v>132244251</v>
      </c>
      <c r="D86" s="57">
        <f t="shared" si="3"/>
        <v>132244251</v>
      </c>
      <c r="E86" s="57">
        <f t="shared" si="3"/>
        <v>132244251</v>
      </c>
      <c r="F86" s="57">
        <f t="shared" si="3"/>
        <v>128633251</v>
      </c>
      <c r="G86" s="57">
        <f t="shared" si="3"/>
        <v>129865308</v>
      </c>
      <c r="H86" s="57">
        <f t="shared" si="3"/>
        <v>129865308</v>
      </c>
      <c r="I86" s="817">
        <f>H86/G86</f>
        <v>1</v>
      </c>
      <c r="J86" s="816">
        <f aca="true" t="shared" si="4" ref="J86:W86">SUM(J65:J80)</f>
        <v>1037744</v>
      </c>
      <c r="K86" s="816">
        <f aca="true" t="shared" si="5" ref="K86:P86">SUM(K65:K80)</f>
        <v>1037744</v>
      </c>
      <c r="L86" s="816">
        <f t="shared" si="5"/>
        <v>1037744</v>
      </c>
      <c r="M86" s="816">
        <f t="shared" si="5"/>
        <v>1037744</v>
      </c>
      <c r="N86" s="816">
        <f t="shared" si="5"/>
        <v>1037744</v>
      </c>
      <c r="O86" s="816">
        <f t="shared" si="5"/>
        <v>800284</v>
      </c>
      <c r="P86" s="816">
        <f t="shared" si="5"/>
        <v>800284</v>
      </c>
      <c r="Q86" s="817">
        <f>P86/O86</f>
        <v>1</v>
      </c>
      <c r="R86" s="815">
        <f t="shared" si="4"/>
        <v>0</v>
      </c>
      <c r="S86" s="57">
        <f t="shared" si="4"/>
        <v>0</v>
      </c>
      <c r="T86" s="57">
        <f t="shared" si="4"/>
        <v>0</v>
      </c>
      <c r="U86" s="57">
        <f t="shared" si="4"/>
        <v>0</v>
      </c>
      <c r="V86" s="57">
        <f t="shared" si="4"/>
        <v>0</v>
      </c>
      <c r="W86" s="57">
        <f t="shared" si="4"/>
        <v>0</v>
      </c>
      <c r="X86" s="57"/>
      <c r="Y86" s="57"/>
      <c r="Z86" s="57"/>
      <c r="AA86" s="57"/>
      <c r="AB86" s="894"/>
      <c r="AC86" s="894"/>
      <c r="AD86" s="280"/>
      <c r="AE86" s="572"/>
    </row>
    <row r="87" spans="7:23" ht="18">
      <c r="G87" s="997"/>
      <c r="H87" s="997"/>
      <c r="I87" s="997"/>
      <c r="J87" s="998"/>
      <c r="K87" s="997"/>
      <c r="L87" s="997"/>
      <c r="M87" s="997"/>
      <c r="N87" s="998"/>
      <c r="O87" s="998"/>
      <c r="P87" s="998">
        <f>P86+H86</f>
        <v>130665592</v>
      </c>
      <c r="W87" s="302"/>
    </row>
    <row r="88" spans="1:23" ht="14.25">
      <c r="A88" s="1448" t="s">
        <v>581</v>
      </c>
      <c r="B88" s="1448"/>
      <c r="C88" s="1448"/>
      <c r="D88" s="1448"/>
      <c r="E88" s="1448"/>
      <c r="F88" s="1448"/>
      <c r="G88" s="1448"/>
      <c r="H88" s="1448"/>
      <c r="I88" s="1448"/>
      <c r="J88" s="1448"/>
      <c r="K88" s="1448"/>
      <c r="L88" s="1448"/>
      <c r="M88" s="1448"/>
      <c r="N88" s="1448"/>
      <c r="O88" s="1448"/>
      <c r="P88" s="1448"/>
      <c r="Q88" s="1448"/>
      <c r="R88" s="1448"/>
      <c r="S88" s="1448"/>
      <c r="T88" s="1448"/>
      <c r="U88" s="1448"/>
      <c r="V88" s="1448"/>
      <c r="W88" s="1448"/>
    </row>
    <row r="89" spans="1:16" ht="36.75" thickBot="1">
      <c r="A89" s="959" t="s">
        <v>579</v>
      </c>
      <c r="E89" s="405"/>
      <c r="F89" s="405"/>
      <c r="G89" s="405"/>
      <c r="H89" s="405"/>
      <c r="O89" s="901"/>
      <c r="P89" s="901"/>
    </row>
    <row r="90" spans="1:30" ht="15.75">
      <c r="A90" s="1449" t="s">
        <v>228</v>
      </c>
      <c r="B90" s="1451" t="s">
        <v>24</v>
      </c>
      <c r="C90" s="1452"/>
      <c r="D90" s="1452"/>
      <c r="E90" s="1452"/>
      <c r="F90" s="1452"/>
      <c r="G90" s="1452"/>
      <c r="H90" s="1452"/>
      <c r="I90" s="1452"/>
      <c r="J90" s="1452"/>
      <c r="K90" s="1452"/>
      <c r="L90" s="1452"/>
      <c r="M90" s="1452"/>
      <c r="N90" s="1452"/>
      <c r="O90" s="1452"/>
      <c r="P90" s="1452"/>
      <c r="Q90" s="1452"/>
      <c r="R90" s="1453" t="s">
        <v>25</v>
      </c>
      <c r="S90" s="1454"/>
      <c r="T90" s="1454"/>
      <c r="U90" s="1454"/>
      <c r="V90" s="1454"/>
      <c r="W90" s="1454"/>
      <c r="X90" s="1454"/>
      <c r="Y90" s="1454"/>
      <c r="Z90" s="1454"/>
      <c r="AA90" s="1454"/>
      <c r="AB90" s="1451"/>
      <c r="AC90" s="1451"/>
      <c r="AD90" s="1455"/>
    </row>
    <row r="91" spans="1:30" ht="15.75">
      <c r="A91" s="1450"/>
      <c r="B91" s="1456" t="s">
        <v>67</v>
      </c>
      <c r="C91" s="1457"/>
      <c r="D91" s="1457"/>
      <c r="E91" s="1457"/>
      <c r="F91" s="1457"/>
      <c r="G91" s="1457"/>
      <c r="H91" s="1457"/>
      <c r="I91" s="1458"/>
      <c r="J91" s="1456" t="s">
        <v>68</v>
      </c>
      <c r="K91" s="1457"/>
      <c r="L91" s="1457"/>
      <c r="M91" s="1457"/>
      <c r="N91" s="1457"/>
      <c r="O91" s="1457"/>
      <c r="P91" s="1457"/>
      <c r="Q91" s="1457"/>
      <c r="R91" s="1459" t="s">
        <v>67</v>
      </c>
      <c r="S91" s="1460"/>
      <c r="T91" s="1460"/>
      <c r="U91" s="1460"/>
      <c r="V91" s="1460"/>
      <c r="W91" s="1460" t="s">
        <v>68</v>
      </c>
      <c r="X91" s="1460"/>
      <c r="Y91" s="1460"/>
      <c r="Z91" s="1460"/>
      <c r="AA91" s="1460"/>
      <c r="AB91" s="1456"/>
      <c r="AC91" s="1456"/>
      <c r="AD91" s="1461"/>
    </row>
    <row r="92" spans="1:30" ht="15.75">
      <c r="A92" s="317"/>
      <c r="B92" s="318" t="s">
        <v>238</v>
      </c>
      <c r="C92" s="318" t="s">
        <v>236</v>
      </c>
      <c r="D92" s="574" t="s">
        <v>241</v>
      </c>
      <c r="E92" s="318" t="s">
        <v>244</v>
      </c>
      <c r="F92" s="318" t="s">
        <v>490</v>
      </c>
      <c r="G92" s="318" t="s">
        <v>496</v>
      </c>
      <c r="H92" s="1017" t="s">
        <v>432</v>
      </c>
      <c r="I92" s="868" t="s">
        <v>247</v>
      </c>
      <c r="J92" s="318" t="s">
        <v>238</v>
      </c>
      <c r="K92" s="868" t="s">
        <v>236</v>
      </c>
      <c r="L92" s="873" t="s">
        <v>241</v>
      </c>
      <c r="M92" s="874" t="s">
        <v>244</v>
      </c>
      <c r="N92" s="318" t="s">
        <v>490</v>
      </c>
      <c r="O92" s="895" t="s">
        <v>496</v>
      </c>
      <c r="P92" s="1017" t="s">
        <v>432</v>
      </c>
      <c r="Q92" s="868" t="s">
        <v>247</v>
      </c>
      <c r="R92" s="869" t="s">
        <v>238</v>
      </c>
      <c r="S92" s="318" t="s">
        <v>236</v>
      </c>
      <c r="T92" s="574" t="s">
        <v>241</v>
      </c>
      <c r="U92" s="318" t="s">
        <v>244</v>
      </c>
      <c r="V92" s="318" t="s">
        <v>432</v>
      </c>
      <c r="W92" s="318" t="s">
        <v>238</v>
      </c>
      <c r="X92" s="318" t="s">
        <v>236</v>
      </c>
      <c r="Y92" s="574" t="s">
        <v>241</v>
      </c>
      <c r="Z92" s="318" t="s">
        <v>244</v>
      </c>
      <c r="AA92" s="318" t="s">
        <v>490</v>
      </c>
      <c r="AB92" s="895" t="s">
        <v>496</v>
      </c>
      <c r="AC92" s="1017" t="s">
        <v>432</v>
      </c>
      <c r="AD92" s="868" t="s">
        <v>247</v>
      </c>
    </row>
    <row r="93" spans="1:30" ht="18">
      <c r="A93" s="48" t="s">
        <v>580</v>
      </c>
      <c r="B93" s="55"/>
      <c r="C93" s="55"/>
      <c r="D93" s="55"/>
      <c r="E93" s="55"/>
      <c r="F93" s="55"/>
      <c r="G93" s="55"/>
      <c r="H93" s="408"/>
      <c r="I93" s="1063"/>
      <c r="J93" s="55"/>
      <c r="K93" s="55"/>
      <c r="L93" s="55"/>
      <c r="M93" s="55"/>
      <c r="N93" s="408"/>
      <c r="O93" s="408"/>
      <c r="P93" s="408"/>
      <c r="Q93" s="408"/>
      <c r="R93" s="411"/>
      <c r="S93" s="52"/>
      <c r="T93" s="52"/>
      <c r="U93" s="52"/>
      <c r="V93" s="52"/>
      <c r="W93" s="55"/>
      <c r="X93" s="55"/>
      <c r="Y93" s="55"/>
      <c r="Z93" s="55">
        <v>1500000</v>
      </c>
      <c r="AA93" s="55">
        <v>1500000</v>
      </c>
      <c r="AB93" s="407">
        <v>1500000</v>
      </c>
      <c r="AC93" s="407">
        <v>1500000</v>
      </c>
      <c r="AD93" s="1063">
        <f>AC93/AB93</f>
        <v>1</v>
      </c>
    </row>
    <row r="94" spans="1:30" ht="18" hidden="1">
      <c r="A94" s="48" t="s">
        <v>497</v>
      </c>
      <c r="B94" s="83"/>
      <c r="C94" s="83"/>
      <c r="D94" s="83"/>
      <c r="E94" s="83"/>
      <c r="F94" s="83"/>
      <c r="G94" s="83"/>
      <c r="H94" s="412"/>
      <c r="I94" s="812"/>
      <c r="J94" s="83"/>
      <c r="K94" s="83"/>
      <c r="L94" s="83"/>
      <c r="M94" s="83"/>
      <c r="N94" s="412"/>
      <c r="O94" s="412"/>
      <c r="P94" s="412"/>
      <c r="Q94" s="412"/>
      <c r="R94" s="411"/>
      <c r="S94" s="52"/>
      <c r="T94" s="52"/>
      <c r="U94" s="52"/>
      <c r="V94" s="52"/>
      <c r="W94" s="55"/>
      <c r="X94" s="55"/>
      <c r="Y94" s="55"/>
      <c r="Z94" s="55"/>
      <c r="AA94" s="52"/>
      <c r="AB94" s="407"/>
      <c r="AC94" s="407"/>
      <c r="AD94" s="82"/>
    </row>
    <row r="95" spans="1:30" ht="18" hidden="1">
      <c r="A95" s="84" t="s">
        <v>230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412"/>
      <c r="Q95" s="812"/>
      <c r="R95" s="411"/>
      <c r="S95" s="52"/>
      <c r="T95" s="52"/>
      <c r="U95" s="52"/>
      <c r="V95" s="52"/>
      <c r="W95" s="55"/>
      <c r="X95" s="55"/>
      <c r="Y95" s="55"/>
      <c r="Z95" s="55"/>
      <c r="AA95" s="52"/>
      <c r="AB95" s="407"/>
      <c r="AC95" s="407"/>
      <c r="AD95" s="82"/>
    </row>
    <row r="96" spans="1:30" ht="18" hidden="1">
      <c r="A96" s="84" t="s">
        <v>231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412"/>
      <c r="Q96" s="812"/>
      <c r="R96" s="411"/>
      <c r="S96" s="52"/>
      <c r="T96" s="52"/>
      <c r="U96" s="52"/>
      <c r="V96" s="52"/>
      <c r="W96" s="55"/>
      <c r="X96" s="55"/>
      <c r="Y96" s="55"/>
      <c r="Z96" s="55"/>
      <c r="AA96" s="52"/>
      <c r="AB96" s="407"/>
      <c r="AC96" s="407"/>
      <c r="AD96" s="82"/>
    </row>
    <row r="97" spans="1:30" ht="18" hidden="1">
      <c r="A97" s="84" t="s">
        <v>355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412"/>
      <c r="Q97" s="812"/>
      <c r="R97" s="411"/>
      <c r="S97" s="52"/>
      <c r="T97" s="52"/>
      <c r="U97" s="52"/>
      <c r="V97" s="52"/>
      <c r="W97" s="55"/>
      <c r="X97" s="55"/>
      <c r="Y97" s="55"/>
      <c r="Z97" s="55"/>
      <c r="AA97" s="52"/>
      <c r="AB97" s="407"/>
      <c r="AC97" s="407"/>
      <c r="AD97" s="82"/>
    </row>
    <row r="98" spans="1:30" ht="18" hidden="1">
      <c r="A98" s="84" t="s">
        <v>232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412"/>
      <c r="Q98" s="812"/>
      <c r="R98" s="411"/>
      <c r="S98" s="52"/>
      <c r="T98" s="52"/>
      <c r="U98" s="52"/>
      <c r="V98" s="52"/>
      <c r="W98" s="55"/>
      <c r="X98" s="55"/>
      <c r="Y98" s="55"/>
      <c r="Z98" s="55"/>
      <c r="AA98" s="52"/>
      <c r="AB98" s="407"/>
      <c r="AC98" s="407"/>
      <c r="AD98" s="82"/>
    </row>
    <row r="99" spans="1:30" ht="18" hidden="1">
      <c r="A99" s="84" t="s">
        <v>233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412"/>
      <c r="Q99" s="812"/>
      <c r="R99" s="411"/>
      <c r="S99" s="52"/>
      <c r="T99" s="52"/>
      <c r="U99" s="52"/>
      <c r="V99" s="52"/>
      <c r="W99" s="55"/>
      <c r="X99" s="55"/>
      <c r="Y99" s="55"/>
      <c r="Z99" s="55"/>
      <c r="AA99" s="52"/>
      <c r="AB99" s="407"/>
      <c r="AC99" s="407"/>
      <c r="AD99" s="82"/>
    </row>
    <row r="100" spans="1:30" ht="18" hidden="1">
      <c r="A100" s="84" t="s">
        <v>234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412"/>
      <c r="Q100" s="812"/>
      <c r="R100" s="411"/>
      <c r="S100" s="52"/>
      <c r="T100" s="52"/>
      <c r="U100" s="52"/>
      <c r="V100" s="52"/>
      <c r="W100" s="55"/>
      <c r="X100" s="55"/>
      <c r="Y100" s="55"/>
      <c r="Z100" s="55"/>
      <c r="AA100" s="52"/>
      <c r="AB100" s="407"/>
      <c r="AC100" s="407"/>
      <c r="AD100" s="82"/>
    </row>
    <row r="101" spans="1:30" ht="18" hidden="1">
      <c r="A101" s="84" t="s">
        <v>235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412"/>
      <c r="Q101" s="812"/>
      <c r="R101" s="411"/>
      <c r="S101" s="52"/>
      <c r="T101" s="52"/>
      <c r="U101" s="52"/>
      <c r="V101" s="52"/>
      <c r="W101" s="55"/>
      <c r="X101" s="55"/>
      <c r="Y101" s="55"/>
      <c r="Z101" s="55"/>
      <c r="AA101" s="52"/>
      <c r="AB101" s="407"/>
      <c r="AC101" s="407"/>
      <c r="AD101" s="82"/>
    </row>
    <row r="102" spans="1:30" ht="18" hidden="1">
      <c r="A102" s="84" t="s">
        <v>470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412"/>
      <c r="Q102" s="812"/>
      <c r="R102" s="411"/>
      <c r="S102" s="52"/>
      <c r="T102" s="52"/>
      <c r="U102" s="52"/>
      <c r="V102" s="52"/>
      <c r="W102" s="55"/>
      <c r="X102" s="55"/>
      <c r="Y102" s="55"/>
      <c r="Z102" s="55"/>
      <c r="AA102" s="52"/>
      <c r="AB102" s="407"/>
      <c r="AC102" s="407"/>
      <c r="AD102" s="82"/>
    </row>
    <row r="103" spans="1:30" ht="18" hidden="1">
      <c r="A103" s="84" t="s">
        <v>242</v>
      </c>
      <c r="B103" s="83"/>
      <c r="C103" s="83"/>
      <c r="D103" s="83"/>
      <c r="E103" s="83"/>
      <c r="F103" s="83"/>
      <c r="G103" s="83"/>
      <c r="H103" s="412"/>
      <c r="I103" s="812"/>
      <c r="J103" s="83"/>
      <c r="K103" s="83"/>
      <c r="L103" s="83"/>
      <c r="M103" s="83"/>
      <c r="N103" s="83"/>
      <c r="O103" s="83"/>
      <c r="P103" s="412"/>
      <c r="Q103" s="412"/>
      <c r="R103" s="411"/>
      <c r="S103" s="52"/>
      <c r="T103" s="52"/>
      <c r="U103" s="52"/>
      <c r="V103" s="52"/>
      <c r="W103" s="55"/>
      <c r="X103" s="55"/>
      <c r="Y103" s="55"/>
      <c r="Z103" s="55"/>
      <c r="AA103" s="52"/>
      <c r="AB103" s="407"/>
      <c r="AC103" s="407"/>
      <c r="AD103" s="82"/>
    </row>
    <row r="104" spans="1:30" ht="18" hidden="1">
      <c r="A104" s="84" t="s">
        <v>252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412"/>
      <c r="Q104" s="412"/>
      <c r="R104" s="411"/>
      <c r="S104" s="52"/>
      <c r="T104" s="52"/>
      <c r="U104" s="52"/>
      <c r="V104" s="52"/>
      <c r="W104" s="55"/>
      <c r="X104" s="55"/>
      <c r="Y104" s="55"/>
      <c r="Z104" s="55"/>
      <c r="AA104" s="52"/>
      <c r="AB104" s="407"/>
      <c r="AC104" s="407"/>
      <c r="AD104" s="82"/>
    </row>
    <row r="105" spans="1:30" ht="18" hidden="1">
      <c r="A105" s="84" t="s">
        <v>253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412"/>
      <c r="Q105" s="412"/>
      <c r="R105" s="411"/>
      <c r="S105" s="52"/>
      <c r="T105" s="52"/>
      <c r="U105" s="52"/>
      <c r="V105" s="52"/>
      <c r="W105" s="55"/>
      <c r="X105" s="55"/>
      <c r="Y105" s="55"/>
      <c r="Z105" s="55"/>
      <c r="AA105" s="52"/>
      <c r="AB105" s="407"/>
      <c r="AC105" s="407"/>
      <c r="AD105" s="82"/>
    </row>
    <row r="106" spans="1:30" ht="18" hidden="1">
      <c r="A106" s="84" t="s">
        <v>254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412"/>
      <c r="Q106" s="412"/>
      <c r="R106" s="411"/>
      <c r="S106" s="52"/>
      <c r="T106" s="52"/>
      <c r="U106" s="52"/>
      <c r="V106" s="52"/>
      <c r="W106" s="55"/>
      <c r="X106" s="55"/>
      <c r="Y106" s="55"/>
      <c r="Z106" s="55"/>
      <c r="AA106" s="52"/>
      <c r="AB106" s="407"/>
      <c r="AC106" s="407"/>
      <c r="AD106" s="82"/>
    </row>
    <row r="107" spans="1:30" ht="18" hidden="1">
      <c r="A107" s="257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412"/>
      <c r="Q107" s="412"/>
      <c r="R107" s="411"/>
      <c r="S107" s="52"/>
      <c r="T107" s="52"/>
      <c r="U107" s="52"/>
      <c r="V107" s="52"/>
      <c r="W107" s="55"/>
      <c r="X107" s="55"/>
      <c r="Y107" s="55"/>
      <c r="Z107" s="55"/>
      <c r="AA107" s="52"/>
      <c r="AB107" s="407"/>
      <c r="AC107" s="407"/>
      <c r="AD107" s="82"/>
    </row>
    <row r="108" spans="1:30" ht="18" hidden="1">
      <c r="A108" s="25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412"/>
      <c r="Q108" s="412"/>
      <c r="R108" s="411"/>
      <c r="S108" s="52"/>
      <c r="T108" s="52"/>
      <c r="U108" s="52"/>
      <c r="V108" s="52"/>
      <c r="W108" s="55"/>
      <c r="X108" s="55"/>
      <c r="Y108" s="55"/>
      <c r="Z108" s="55"/>
      <c r="AA108" s="52"/>
      <c r="AB108" s="407"/>
      <c r="AC108" s="407"/>
      <c r="AD108" s="82"/>
    </row>
    <row r="109" spans="1:30" ht="18" hidden="1">
      <c r="A109" s="257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412"/>
      <c r="Q109" s="412"/>
      <c r="R109" s="411"/>
      <c r="S109" s="52"/>
      <c r="T109" s="52"/>
      <c r="U109" s="52"/>
      <c r="V109" s="52"/>
      <c r="W109" s="55"/>
      <c r="X109" s="55"/>
      <c r="Y109" s="55"/>
      <c r="Z109" s="55"/>
      <c r="AA109" s="52"/>
      <c r="AB109" s="407"/>
      <c r="AC109" s="407"/>
      <c r="AD109" s="82"/>
    </row>
    <row r="110" spans="1:30" ht="18" hidden="1">
      <c r="A110" s="25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412"/>
      <c r="Q110" s="412"/>
      <c r="R110" s="411"/>
      <c r="S110" s="52"/>
      <c r="T110" s="52"/>
      <c r="U110" s="52"/>
      <c r="V110" s="52"/>
      <c r="W110" s="55"/>
      <c r="X110" s="55"/>
      <c r="Y110" s="55"/>
      <c r="Z110" s="55"/>
      <c r="AA110" s="52"/>
      <c r="AB110" s="407"/>
      <c r="AC110" s="407"/>
      <c r="AD110" s="82"/>
    </row>
    <row r="111" spans="1:30" ht="18" hidden="1">
      <c r="A111" s="257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412"/>
      <c r="Q111" s="412"/>
      <c r="R111" s="411"/>
      <c r="S111" s="52"/>
      <c r="T111" s="52"/>
      <c r="U111" s="52"/>
      <c r="V111" s="52"/>
      <c r="W111" s="55"/>
      <c r="X111" s="55"/>
      <c r="Y111" s="55"/>
      <c r="Z111" s="55"/>
      <c r="AA111" s="52"/>
      <c r="AB111" s="407"/>
      <c r="AC111" s="407"/>
      <c r="AD111" s="82"/>
    </row>
    <row r="112" spans="1:30" ht="18" hidden="1">
      <c r="A112" s="25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412"/>
      <c r="Q112" s="412"/>
      <c r="R112" s="411"/>
      <c r="S112" s="52"/>
      <c r="T112" s="52"/>
      <c r="U112" s="52"/>
      <c r="V112" s="52"/>
      <c r="W112" s="55"/>
      <c r="X112" s="55"/>
      <c r="Y112" s="55"/>
      <c r="Z112" s="55"/>
      <c r="AA112" s="52"/>
      <c r="AB112" s="407"/>
      <c r="AC112" s="407"/>
      <c r="AD112" s="82"/>
    </row>
    <row r="113" spans="1:30" ht="18.75" thickBot="1">
      <c r="A113" s="51" t="s">
        <v>1</v>
      </c>
      <c r="B113" s="57">
        <f aca="true" t="shared" si="6" ref="B113:G113">SUM(B93:B107)</f>
        <v>0</v>
      </c>
      <c r="C113" s="57">
        <f t="shared" si="6"/>
        <v>0</v>
      </c>
      <c r="D113" s="57">
        <f t="shared" si="6"/>
        <v>0</v>
      </c>
      <c r="E113" s="57">
        <f t="shared" si="6"/>
        <v>0</v>
      </c>
      <c r="F113" s="57">
        <f t="shared" si="6"/>
        <v>0</v>
      </c>
      <c r="G113" s="57">
        <f t="shared" si="6"/>
        <v>0</v>
      </c>
      <c r="H113" s="894"/>
      <c r="I113" s="817"/>
      <c r="J113" s="816">
        <f aca="true" t="shared" si="7" ref="J113:O113">SUM(J93:J107)</f>
        <v>0</v>
      </c>
      <c r="K113" s="816">
        <f t="shared" si="7"/>
        <v>0</v>
      </c>
      <c r="L113" s="816">
        <f t="shared" si="7"/>
        <v>0</v>
      </c>
      <c r="M113" s="816">
        <f t="shared" si="7"/>
        <v>0</v>
      </c>
      <c r="N113" s="816">
        <f t="shared" si="7"/>
        <v>0</v>
      </c>
      <c r="O113" s="816">
        <f t="shared" si="7"/>
        <v>0</v>
      </c>
      <c r="P113" s="816"/>
      <c r="Q113" s="817"/>
      <c r="R113" s="815">
        <f aca="true" t="shared" si="8" ref="R113:W113">SUM(R93:R107)</f>
        <v>0</v>
      </c>
      <c r="S113" s="57">
        <f t="shared" si="8"/>
        <v>0</v>
      </c>
      <c r="T113" s="57">
        <f t="shared" si="8"/>
        <v>0</v>
      </c>
      <c r="U113" s="57">
        <f t="shared" si="8"/>
        <v>0</v>
      </c>
      <c r="V113" s="57">
        <f t="shared" si="8"/>
        <v>0</v>
      </c>
      <c r="W113" s="57">
        <f t="shared" si="8"/>
        <v>0</v>
      </c>
      <c r="X113" s="57">
        <v>0</v>
      </c>
      <c r="Y113" s="57">
        <v>0</v>
      </c>
      <c r="Z113" s="816">
        <f>SUM(Z93:Z107)</f>
        <v>1500000</v>
      </c>
      <c r="AA113" s="816">
        <f>SUM(AA93:AA107)</f>
        <v>1500000</v>
      </c>
      <c r="AB113" s="816">
        <f>SUM(AB93:AB107)</f>
        <v>1500000</v>
      </c>
      <c r="AC113" s="816">
        <f>SUM(AC93:AC107)</f>
        <v>1500000</v>
      </c>
      <c r="AD113" s="817">
        <f>AC113/AB113</f>
        <v>1</v>
      </c>
    </row>
    <row r="116" ht="12.75">
      <c r="C116" s="405"/>
    </row>
  </sheetData>
  <sheetProtection/>
  <mergeCells count="27">
    <mergeCell ref="R1:W1"/>
    <mergeCell ref="A2:W2"/>
    <mergeCell ref="A3:W3"/>
    <mergeCell ref="A4:W4"/>
    <mergeCell ref="A7:A8"/>
    <mergeCell ref="B7:Q7"/>
    <mergeCell ref="R7:AD7"/>
    <mergeCell ref="B8:I8"/>
    <mergeCell ref="J8:Q8"/>
    <mergeCell ref="R8:V8"/>
    <mergeCell ref="W8:AD8"/>
    <mergeCell ref="A60:W60"/>
    <mergeCell ref="A62:A63"/>
    <mergeCell ref="B62:Q62"/>
    <mergeCell ref="R62:AD62"/>
    <mergeCell ref="B63:I63"/>
    <mergeCell ref="J63:Q63"/>
    <mergeCell ref="R63:V63"/>
    <mergeCell ref="W63:AD63"/>
    <mergeCell ref="A88:W88"/>
    <mergeCell ref="A90:A91"/>
    <mergeCell ref="B90:Q90"/>
    <mergeCell ref="R90:AD90"/>
    <mergeCell ref="B91:I91"/>
    <mergeCell ref="J91:Q91"/>
    <mergeCell ref="R91:V91"/>
    <mergeCell ref="W91:AD9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35" r:id="rId1"/>
  <headerFooter alignWithMargins="0">
    <oddFooter>&amp;R
</oddFooter>
  </headerFooter>
  <colBreaks count="1" manualBreakCount="1">
    <brk id="31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BC18"/>
  <sheetViews>
    <sheetView zoomScalePageLayoutView="0" workbookViewId="0" topLeftCell="C1">
      <selection activeCell="D3" sqref="D3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0" style="22" hidden="1" customWidth="1"/>
    <col min="32" max="32" width="12.57421875" style="22" hidden="1" customWidth="1"/>
    <col min="33" max="34" width="17.140625" style="22" hidden="1" customWidth="1"/>
    <col min="35" max="35" width="13.8515625" style="22" hidden="1" customWidth="1"/>
    <col min="36" max="36" width="14.57421875" style="22" hidden="1" customWidth="1"/>
    <col min="37" max="38" width="16.140625" style="22" hidden="1" customWidth="1"/>
    <col min="39" max="39" width="14.140625" style="22" hidden="1" customWidth="1"/>
    <col min="40" max="42" width="0" style="22" hidden="1" customWidth="1"/>
    <col min="43" max="43" width="11.28125" style="22" hidden="1" customWidth="1"/>
    <col min="44" max="44" width="15.28125" style="22" hidden="1" customWidth="1"/>
    <col min="45" max="45" width="15.140625" style="22" hidden="1" customWidth="1"/>
    <col min="46" max="46" width="21.140625" style="22" hidden="1" customWidth="1"/>
    <col min="47" max="47" width="13.421875" style="22" hidden="1" customWidth="1"/>
    <col min="48" max="48" width="11.8515625" style="22" customWidth="1"/>
    <col min="49" max="49" width="14.8515625" style="22" customWidth="1"/>
    <col min="50" max="50" width="20.7109375" style="22" customWidth="1"/>
    <col min="51" max="51" width="11.57421875" style="22" customWidth="1"/>
    <col min="52" max="52" width="13.00390625" style="22" customWidth="1"/>
    <col min="53" max="53" width="15.140625" style="22" customWidth="1"/>
    <col min="54" max="54" width="18.00390625" style="22" customWidth="1"/>
    <col min="55" max="55" width="17.140625" style="22" customWidth="1"/>
    <col min="56" max="16384" width="9.140625" style="22" customWidth="1"/>
  </cols>
  <sheetData>
    <row r="2" spans="4:9" ht="12.75">
      <c r="D2" s="1466" t="s">
        <v>203</v>
      </c>
      <c r="E2" s="1466"/>
      <c r="F2" s="386"/>
      <c r="G2" s="386"/>
      <c r="H2" s="386"/>
      <c r="I2" s="386"/>
    </row>
    <row r="4" spans="1:9" ht="19.5">
      <c r="A4" s="1470" t="s">
        <v>513</v>
      </c>
      <c r="B4" s="1470"/>
      <c r="C4" s="1470"/>
      <c r="D4" s="1470"/>
      <c r="E4" s="1470"/>
      <c r="F4" s="387"/>
      <c r="G4" s="387"/>
      <c r="H4" s="387"/>
      <c r="I4" s="387"/>
    </row>
    <row r="5" spans="1:9" ht="19.5">
      <c r="A5" s="387"/>
      <c r="B5" s="387"/>
      <c r="C5" s="387"/>
      <c r="D5" s="387"/>
      <c r="E5" s="387"/>
      <c r="F5" s="387"/>
      <c r="G5" s="387"/>
      <c r="H5" s="387"/>
      <c r="I5" s="387"/>
    </row>
    <row r="6" spans="2:11" ht="20.25" customHeight="1" thickBot="1">
      <c r="B6" s="1471" t="s">
        <v>5</v>
      </c>
      <c r="C6" s="1471"/>
      <c r="D6" s="1471"/>
      <c r="E6" s="1471"/>
      <c r="F6" s="1471"/>
      <c r="G6" s="1471"/>
      <c r="H6" s="1471"/>
      <c r="I6" s="1471"/>
      <c r="J6" s="1479" t="s">
        <v>246</v>
      </c>
      <c r="K6" s="1479"/>
    </row>
    <row r="7" spans="1:55" ht="36.75" customHeight="1">
      <c r="A7" s="1480" t="s">
        <v>4</v>
      </c>
      <c r="B7" s="1467" t="s">
        <v>514</v>
      </c>
      <c r="C7" s="1468"/>
      <c r="D7" s="1468"/>
      <c r="E7" s="1469"/>
      <c r="F7" s="1472" t="s">
        <v>262</v>
      </c>
      <c r="G7" s="1468"/>
      <c r="H7" s="1468"/>
      <c r="I7" s="1469"/>
      <c r="J7" s="1482" t="s">
        <v>251</v>
      </c>
      <c r="K7" s="1483"/>
      <c r="L7" s="1467" t="s">
        <v>462</v>
      </c>
      <c r="M7" s="1468"/>
      <c r="N7" s="1468"/>
      <c r="O7" s="1469"/>
      <c r="P7" s="1467" t="s">
        <v>246</v>
      </c>
      <c r="Q7" s="1468"/>
      <c r="R7" s="1468"/>
      <c r="S7" s="1469"/>
      <c r="T7" s="1467" t="s">
        <v>461</v>
      </c>
      <c r="U7" s="1468"/>
      <c r="V7" s="1468"/>
      <c r="W7" s="1469"/>
      <c r="X7" s="1467" t="s">
        <v>486</v>
      </c>
      <c r="Y7" s="1468"/>
      <c r="Z7" s="1468"/>
      <c r="AA7" s="1469"/>
      <c r="AB7" s="1467" t="s">
        <v>487</v>
      </c>
      <c r="AC7" s="1468"/>
      <c r="AD7" s="1468"/>
      <c r="AE7" s="1469"/>
      <c r="AF7" s="1467" t="s">
        <v>495</v>
      </c>
      <c r="AG7" s="1468"/>
      <c r="AH7" s="1468"/>
      <c r="AI7" s="1469"/>
      <c r="AJ7" s="1467" t="s">
        <v>539</v>
      </c>
      <c r="AK7" s="1468"/>
      <c r="AL7" s="1468"/>
      <c r="AM7" s="1469"/>
      <c r="AN7" s="1467" t="s">
        <v>543</v>
      </c>
      <c r="AO7" s="1468"/>
      <c r="AP7" s="1468"/>
      <c r="AQ7" s="1469"/>
      <c r="AR7" s="1467" t="s">
        <v>567</v>
      </c>
      <c r="AS7" s="1468"/>
      <c r="AT7" s="1468"/>
      <c r="AU7" s="1469"/>
      <c r="AV7" s="1467" t="s">
        <v>600</v>
      </c>
      <c r="AW7" s="1468"/>
      <c r="AX7" s="1468"/>
      <c r="AY7" s="1469"/>
      <c r="AZ7" s="1467" t="s">
        <v>602</v>
      </c>
      <c r="BA7" s="1468"/>
      <c r="BB7" s="1468"/>
      <c r="BC7" s="1469"/>
    </row>
    <row r="8" spans="1:55" ht="41.25" customHeight="1" thickBot="1">
      <c r="A8" s="1481"/>
      <c r="B8" s="27" t="s">
        <v>31</v>
      </c>
      <c r="C8" s="27" t="s">
        <v>210</v>
      </c>
      <c r="D8" s="27" t="s">
        <v>211</v>
      </c>
      <c r="E8" s="28" t="s">
        <v>1</v>
      </c>
      <c r="F8" s="547" t="s">
        <v>31</v>
      </c>
      <c r="G8" s="27" t="s">
        <v>210</v>
      </c>
      <c r="H8" s="27" t="s">
        <v>211</v>
      </c>
      <c r="I8" s="28" t="s">
        <v>1</v>
      </c>
      <c r="J8" s="399" t="s">
        <v>246</v>
      </c>
      <c r="K8" s="400" t="s">
        <v>247</v>
      </c>
      <c r="L8" s="27" t="s">
        <v>31</v>
      </c>
      <c r="M8" s="27" t="s">
        <v>210</v>
      </c>
      <c r="N8" s="27" t="s">
        <v>211</v>
      </c>
      <c r="O8" s="28" t="s">
        <v>1</v>
      </c>
      <c r="P8" s="27" t="s">
        <v>31</v>
      </c>
      <c r="Q8" s="27" t="s">
        <v>210</v>
      </c>
      <c r="R8" s="27" t="s">
        <v>211</v>
      </c>
      <c r="S8" s="28" t="s">
        <v>1</v>
      </c>
      <c r="T8" s="27" t="s">
        <v>31</v>
      </c>
      <c r="U8" s="27" t="s">
        <v>210</v>
      </c>
      <c r="V8" s="27" t="s">
        <v>211</v>
      </c>
      <c r="W8" s="28" t="s">
        <v>1</v>
      </c>
      <c r="X8" s="27" t="s">
        <v>31</v>
      </c>
      <c r="Y8" s="27" t="s">
        <v>210</v>
      </c>
      <c r="Z8" s="27" t="s">
        <v>211</v>
      </c>
      <c r="AA8" s="28" t="s">
        <v>1</v>
      </c>
      <c r="AB8" s="27" t="s">
        <v>31</v>
      </c>
      <c r="AC8" s="27" t="s">
        <v>210</v>
      </c>
      <c r="AD8" s="27" t="s">
        <v>211</v>
      </c>
      <c r="AE8" s="28" t="s">
        <v>1</v>
      </c>
      <c r="AF8" s="27" t="s">
        <v>31</v>
      </c>
      <c r="AG8" s="27" t="s">
        <v>210</v>
      </c>
      <c r="AH8" s="27" t="s">
        <v>211</v>
      </c>
      <c r="AI8" s="28" t="s">
        <v>1</v>
      </c>
      <c r="AJ8" s="27" t="s">
        <v>31</v>
      </c>
      <c r="AK8" s="27" t="s">
        <v>210</v>
      </c>
      <c r="AL8" s="27" t="s">
        <v>211</v>
      </c>
      <c r="AM8" s="28" t="s">
        <v>1</v>
      </c>
      <c r="AN8" s="27" t="s">
        <v>31</v>
      </c>
      <c r="AO8" s="27" t="s">
        <v>210</v>
      </c>
      <c r="AP8" s="27" t="s">
        <v>211</v>
      </c>
      <c r="AQ8" s="28" t="s">
        <v>1</v>
      </c>
      <c r="AR8" s="27" t="s">
        <v>31</v>
      </c>
      <c r="AS8" s="27" t="s">
        <v>210</v>
      </c>
      <c r="AT8" s="27" t="s">
        <v>211</v>
      </c>
      <c r="AU8" s="28" t="s">
        <v>1</v>
      </c>
      <c r="AV8" s="27" t="s">
        <v>31</v>
      </c>
      <c r="AW8" s="27" t="s">
        <v>210</v>
      </c>
      <c r="AX8" s="27" t="s">
        <v>211</v>
      </c>
      <c r="AY8" s="28" t="s">
        <v>1</v>
      </c>
      <c r="AZ8" s="27" t="s">
        <v>31</v>
      </c>
      <c r="BA8" s="27" t="s">
        <v>210</v>
      </c>
      <c r="BB8" s="27" t="s">
        <v>211</v>
      </c>
      <c r="BC8" s="28" t="s">
        <v>1</v>
      </c>
    </row>
    <row r="9" spans="1:55" ht="30" customHeight="1">
      <c r="A9" s="23" t="s">
        <v>219</v>
      </c>
      <c r="B9" s="143">
        <v>19</v>
      </c>
      <c r="C9" s="143">
        <v>1</v>
      </c>
      <c r="D9" s="144">
        <v>2</v>
      </c>
      <c r="E9" s="305">
        <f>SUM(B9:C9)</f>
        <v>20</v>
      </c>
      <c r="F9" s="548"/>
      <c r="G9" s="143"/>
      <c r="H9" s="144"/>
      <c r="I9" s="304"/>
      <c r="J9" s="397"/>
      <c r="K9" s="398">
        <f>J9/E9</f>
        <v>0</v>
      </c>
      <c r="L9" s="143"/>
      <c r="M9" s="143"/>
      <c r="N9" s="144"/>
      <c r="O9" s="305"/>
      <c r="P9" s="143">
        <v>19</v>
      </c>
      <c r="Q9" s="143">
        <v>1.75</v>
      </c>
      <c r="R9" s="144">
        <v>2</v>
      </c>
      <c r="S9" s="305">
        <f>SUM(P9:Q9)</f>
        <v>20.75</v>
      </c>
      <c r="T9" s="143"/>
      <c r="U9" s="143"/>
      <c r="V9" s="144"/>
      <c r="W9" s="305">
        <f>SUM(T9:U9)</f>
        <v>0</v>
      </c>
      <c r="X9" s="143"/>
      <c r="Y9" s="143"/>
      <c r="Z9" s="144"/>
      <c r="AA9" s="305">
        <f>SUM(X9:Y9)</f>
        <v>0</v>
      </c>
      <c r="AB9" s="143">
        <v>18</v>
      </c>
      <c r="AC9" s="143">
        <v>1</v>
      </c>
      <c r="AD9" s="144">
        <v>2</v>
      </c>
      <c r="AE9" s="305">
        <f>SUM(AB9:AC9)</f>
        <v>19</v>
      </c>
      <c r="AF9" s="143"/>
      <c r="AG9" s="143"/>
      <c r="AH9" s="144"/>
      <c r="AI9" s="305">
        <f>SUM(AF9:AG9)</f>
        <v>0</v>
      </c>
      <c r="AJ9" s="143">
        <v>19</v>
      </c>
      <c r="AK9" s="143">
        <v>1</v>
      </c>
      <c r="AL9" s="144">
        <v>2</v>
      </c>
      <c r="AM9" s="305">
        <f>SUM(AJ9:AK9)</f>
        <v>20</v>
      </c>
      <c r="AN9" s="143">
        <v>19</v>
      </c>
      <c r="AO9" s="143">
        <v>1</v>
      </c>
      <c r="AP9" s="144">
        <v>2</v>
      </c>
      <c r="AQ9" s="305">
        <f>SUM(AN9:AO9)</f>
        <v>20</v>
      </c>
      <c r="AR9" s="143">
        <v>19</v>
      </c>
      <c r="AS9" s="143">
        <v>1</v>
      </c>
      <c r="AT9" s="144">
        <v>2</v>
      </c>
      <c r="AU9" s="954">
        <f>SUM(AR9:AS9)</f>
        <v>20</v>
      </c>
      <c r="AV9" s="143">
        <v>19</v>
      </c>
      <c r="AW9" s="143">
        <v>1</v>
      </c>
      <c r="AX9" s="144">
        <v>1</v>
      </c>
      <c r="AY9" s="954">
        <f>SUM(AV9:AW9)</f>
        <v>20</v>
      </c>
      <c r="AZ9" s="143">
        <v>17</v>
      </c>
      <c r="BA9" s="143">
        <v>1</v>
      </c>
      <c r="BB9" s="144">
        <v>1</v>
      </c>
      <c r="BC9" s="954">
        <f>SUM(AZ9:BA9)</f>
        <v>18</v>
      </c>
    </row>
    <row r="10" spans="1:55" ht="30" customHeight="1">
      <c r="A10" s="23" t="s">
        <v>220</v>
      </c>
      <c r="B10" s="143">
        <v>3</v>
      </c>
      <c r="C10" s="143">
        <v>4.5</v>
      </c>
      <c r="D10" s="143">
        <v>0</v>
      </c>
      <c r="E10" s="305">
        <f>SUM(B10:C10)</f>
        <v>7.5</v>
      </c>
      <c r="F10" s="548"/>
      <c r="G10" s="143"/>
      <c r="H10" s="143"/>
      <c r="I10" s="305"/>
      <c r="J10" s="395"/>
      <c r="K10" s="396">
        <f>J10/E10</f>
        <v>0</v>
      </c>
      <c r="L10" s="143"/>
      <c r="M10" s="143"/>
      <c r="N10" s="143"/>
      <c r="O10" s="305"/>
      <c r="P10" s="143">
        <v>3</v>
      </c>
      <c r="Q10" s="143">
        <v>6.5</v>
      </c>
      <c r="R10" s="143">
        <v>0</v>
      </c>
      <c r="S10" s="305">
        <f>SUM(P10:Q10)</f>
        <v>9.5</v>
      </c>
      <c r="T10" s="143"/>
      <c r="U10" s="143"/>
      <c r="V10" s="143"/>
      <c r="W10" s="305">
        <f>SUM(T10:U10)</f>
        <v>0</v>
      </c>
      <c r="X10" s="143"/>
      <c r="Y10" s="143"/>
      <c r="Z10" s="143"/>
      <c r="AA10" s="305">
        <f>SUM(X10:Y10)</f>
        <v>0</v>
      </c>
      <c r="AB10" s="143">
        <v>3</v>
      </c>
      <c r="AC10" s="143">
        <v>4.5</v>
      </c>
      <c r="AD10" s="143">
        <v>0</v>
      </c>
      <c r="AE10" s="305">
        <f>SUM(AB10:AC10)</f>
        <v>7.5</v>
      </c>
      <c r="AF10" s="143"/>
      <c r="AG10" s="143"/>
      <c r="AH10" s="143"/>
      <c r="AI10" s="305">
        <f>SUM(AF10:AG10)</f>
        <v>0</v>
      </c>
      <c r="AJ10" s="143">
        <v>3</v>
      </c>
      <c r="AK10" s="143">
        <v>4.5</v>
      </c>
      <c r="AL10" s="143">
        <v>0</v>
      </c>
      <c r="AM10" s="305">
        <f>SUM(AJ10:AK10)</f>
        <v>7.5</v>
      </c>
      <c r="AN10" s="143">
        <v>3</v>
      </c>
      <c r="AO10" s="143">
        <v>4.5</v>
      </c>
      <c r="AP10" s="143">
        <v>0</v>
      </c>
      <c r="AQ10" s="305">
        <f>SUM(AN10:AO10)</f>
        <v>7.5</v>
      </c>
      <c r="AR10" s="143">
        <v>3</v>
      </c>
      <c r="AS10" s="143">
        <v>4.5</v>
      </c>
      <c r="AT10" s="143">
        <v>0</v>
      </c>
      <c r="AU10" s="954">
        <f>SUM(AR10:AS10)</f>
        <v>7.5</v>
      </c>
      <c r="AV10" s="143">
        <v>3</v>
      </c>
      <c r="AW10" s="143">
        <v>4.5</v>
      </c>
      <c r="AX10" s="143">
        <v>0</v>
      </c>
      <c r="AY10" s="954">
        <f>SUM(AV10:AW10)</f>
        <v>7.5</v>
      </c>
      <c r="AZ10" s="143">
        <v>3</v>
      </c>
      <c r="BA10" s="143">
        <v>4.5</v>
      </c>
      <c r="BB10" s="143">
        <v>0</v>
      </c>
      <c r="BC10" s="954">
        <f>SUM(AZ10:BA10)</f>
        <v>7.5</v>
      </c>
    </row>
    <row r="11" spans="1:55" ht="30" customHeight="1" thickBot="1">
      <c r="A11" s="142" t="s">
        <v>221</v>
      </c>
      <c r="B11" s="145">
        <v>14</v>
      </c>
      <c r="C11" s="145">
        <v>8</v>
      </c>
      <c r="D11" s="145">
        <v>3</v>
      </c>
      <c r="E11" s="305">
        <f>SUM(B11:C11)</f>
        <v>22</v>
      </c>
      <c r="F11" s="549"/>
      <c r="G11" s="145"/>
      <c r="H11" s="145"/>
      <c r="I11" s="306"/>
      <c r="J11" s="401"/>
      <c r="K11" s="402">
        <f>J11/E11</f>
        <v>0</v>
      </c>
      <c r="L11" s="145"/>
      <c r="M11" s="145"/>
      <c r="N11" s="145"/>
      <c r="O11" s="305"/>
      <c r="P11" s="145">
        <v>15</v>
      </c>
      <c r="Q11" s="145">
        <v>12</v>
      </c>
      <c r="R11" s="145">
        <v>3</v>
      </c>
      <c r="S11" s="305">
        <f>SUM(P11:Q11)</f>
        <v>27</v>
      </c>
      <c r="T11" s="145"/>
      <c r="U11" s="145"/>
      <c r="V11" s="145"/>
      <c r="W11" s="305">
        <f>SUM(T11:U11)</f>
        <v>0</v>
      </c>
      <c r="X11" s="145"/>
      <c r="Y11" s="145"/>
      <c r="Z11" s="145"/>
      <c r="AA11" s="305">
        <f>SUM(X11:Y11)</f>
        <v>0</v>
      </c>
      <c r="AB11" s="145">
        <v>15</v>
      </c>
      <c r="AC11" s="145">
        <v>10</v>
      </c>
      <c r="AD11" s="145">
        <v>3</v>
      </c>
      <c r="AE11" s="305">
        <f>SUM(AB11:AC11)</f>
        <v>25</v>
      </c>
      <c r="AF11" s="145"/>
      <c r="AG11" s="145"/>
      <c r="AH11" s="145"/>
      <c r="AI11" s="305">
        <f>SUM(AF11:AG11)</f>
        <v>0</v>
      </c>
      <c r="AJ11" s="145">
        <v>14</v>
      </c>
      <c r="AK11" s="145">
        <v>8</v>
      </c>
      <c r="AL11" s="145">
        <v>3</v>
      </c>
      <c r="AM11" s="305">
        <f>SUM(AJ11:AK11)</f>
        <v>22</v>
      </c>
      <c r="AN11" s="145">
        <v>14</v>
      </c>
      <c r="AO11" s="145">
        <v>9</v>
      </c>
      <c r="AP11" s="145">
        <v>3</v>
      </c>
      <c r="AQ11" s="305">
        <f>SUM(AN11:AO11)</f>
        <v>23</v>
      </c>
      <c r="AR11" s="145">
        <v>14</v>
      </c>
      <c r="AS11" s="145">
        <v>9</v>
      </c>
      <c r="AT11" s="145">
        <v>3</v>
      </c>
      <c r="AU11" s="954">
        <f>SUM(AR11:AS11)</f>
        <v>23</v>
      </c>
      <c r="AV11" s="145">
        <v>15</v>
      </c>
      <c r="AW11" s="145">
        <v>8</v>
      </c>
      <c r="AX11" s="145">
        <v>3</v>
      </c>
      <c r="AY11" s="954">
        <f>SUM(AV11:AW11)</f>
        <v>23</v>
      </c>
      <c r="AZ11" s="145">
        <v>15</v>
      </c>
      <c r="BA11" s="145">
        <v>8</v>
      </c>
      <c r="BB11" s="145">
        <v>3</v>
      </c>
      <c r="BC11" s="954">
        <f>SUM(AZ11:BA11)</f>
        <v>23</v>
      </c>
    </row>
    <row r="12" spans="1:55" ht="54.75" customHeight="1" thickBot="1">
      <c r="A12" s="141" t="s">
        <v>27</v>
      </c>
      <c r="B12" s="262">
        <f aca="true" t="shared" si="0" ref="B12:J12">SUM(B9:B11)</f>
        <v>36</v>
      </c>
      <c r="C12" s="262">
        <f t="shared" si="0"/>
        <v>13.5</v>
      </c>
      <c r="D12" s="262">
        <f t="shared" si="0"/>
        <v>5</v>
      </c>
      <c r="E12" s="307">
        <f t="shared" si="0"/>
        <v>49.5</v>
      </c>
      <c r="F12" s="550">
        <f t="shared" si="0"/>
        <v>0</v>
      </c>
      <c r="G12" s="262">
        <f t="shared" si="0"/>
        <v>0</v>
      </c>
      <c r="H12" s="262">
        <f t="shared" si="0"/>
        <v>0</v>
      </c>
      <c r="I12" s="307">
        <f t="shared" si="0"/>
        <v>0</v>
      </c>
      <c r="J12" s="403">
        <f t="shared" si="0"/>
        <v>0</v>
      </c>
      <c r="K12" s="404">
        <f>J12/E12</f>
        <v>0</v>
      </c>
      <c r="L12" s="262">
        <f aca="true" t="shared" si="1" ref="L12:AA12">SUM(L9:L11)</f>
        <v>0</v>
      </c>
      <c r="M12" s="262">
        <f t="shared" si="1"/>
        <v>0</v>
      </c>
      <c r="N12" s="262">
        <f t="shared" si="1"/>
        <v>0</v>
      </c>
      <c r="O12" s="307">
        <f t="shared" si="1"/>
        <v>0</v>
      </c>
      <c r="P12" s="262">
        <f t="shared" si="1"/>
        <v>37</v>
      </c>
      <c r="Q12" s="262">
        <f t="shared" si="1"/>
        <v>20.25</v>
      </c>
      <c r="R12" s="262">
        <f t="shared" si="1"/>
        <v>5</v>
      </c>
      <c r="S12" s="307">
        <f t="shared" si="1"/>
        <v>57.25</v>
      </c>
      <c r="T12" s="262">
        <f t="shared" si="1"/>
        <v>0</v>
      </c>
      <c r="U12" s="262">
        <f t="shared" si="1"/>
        <v>0</v>
      </c>
      <c r="V12" s="262">
        <f t="shared" si="1"/>
        <v>0</v>
      </c>
      <c r="W12" s="307">
        <f t="shared" si="1"/>
        <v>0</v>
      </c>
      <c r="X12" s="262">
        <f t="shared" si="1"/>
        <v>0</v>
      </c>
      <c r="Y12" s="262">
        <f t="shared" si="1"/>
        <v>0</v>
      </c>
      <c r="Z12" s="262">
        <f t="shared" si="1"/>
        <v>0</v>
      </c>
      <c r="AA12" s="307">
        <f t="shared" si="1"/>
        <v>0</v>
      </c>
      <c r="AB12" s="262">
        <f aca="true" t="shared" si="2" ref="AB12:AM12">SUM(AB9:AB11)</f>
        <v>36</v>
      </c>
      <c r="AC12" s="262">
        <f t="shared" si="2"/>
        <v>15.5</v>
      </c>
      <c r="AD12" s="262">
        <f t="shared" si="2"/>
        <v>5</v>
      </c>
      <c r="AE12" s="307">
        <f t="shared" si="2"/>
        <v>51.5</v>
      </c>
      <c r="AF12" s="262">
        <f t="shared" si="2"/>
        <v>0</v>
      </c>
      <c r="AG12" s="262">
        <f t="shared" si="2"/>
        <v>0</v>
      </c>
      <c r="AH12" s="262">
        <f t="shared" si="2"/>
        <v>0</v>
      </c>
      <c r="AI12" s="307">
        <f t="shared" si="2"/>
        <v>0</v>
      </c>
      <c r="AJ12" s="262">
        <f t="shared" si="2"/>
        <v>36</v>
      </c>
      <c r="AK12" s="262">
        <f t="shared" si="2"/>
        <v>13.5</v>
      </c>
      <c r="AL12" s="262">
        <f t="shared" si="2"/>
        <v>5</v>
      </c>
      <c r="AM12" s="307">
        <f t="shared" si="2"/>
        <v>49.5</v>
      </c>
      <c r="AN12" s="262">
        <f aca="true" t="shared" si="3" ref="AN12:AU12">SUM(AN9:AN11)</f>
        <v>36</v>
      </c>
      <c r="AO12" s="262">
        <f t="shared" si="3"/>
        <v>14.5</v>
      </c>
      <c r="AP12" s="262">
        <f t="shared" si="3"/>
        <v>5</v>
      </c>
      <c r="AQ12" s="307">
        <f t="shared" si="3"/>
        <v>50.5</v>
      </c>
      <c r="AR12" s="262">
        <f t="shared" si="3"/>
        <v>36</v>
      </c>
      <c r="AS12" s="262">
        <f t="shared" si="3"/>
        <v>14.5</v>
      </c>
      <c r="AT12" s="262">
        <f t="shared" si="3"/>
        <v>5</v>
      </c>
      <c r="AU12" s="955">
        <f t="shared" si="3"/>
        <v>50.5</v>
      </c>
      <c r="AV12" s="262">
        <f aca="true" t="shared" si="4" ref="AV12:BC12">SUM(AV9:AV11)</f>
        <v>37</v>
      </c>
      <c r="AW12" s="262">
        <f t="shared" si="4"/>
        <v>13.5</v>
      </c>
      <c r="AX12" s="262">
        <f t="shared" si="4"/>
        <v>4</v>
      </c>
      <c r="AY12" s="955">
        <f t="shared" si="4"/>
        <v>50.5</v>
      </c>
      <c r="AZ12" s="262">
        <f t="shared" si="4"/>
        <v>35</v>
      </c>
      <c r="BA12" s="262">
        <f t="shared" si="4"/>
        <v>13.5</v>
      </c>
      <c r="BB12" s="262">
        <f t="shared" si="4"/>
        <v>4</v>
      </c>
      <c r="BC12" s="955">
        <f t="shared" si="4"/>
        <v>48.5</v>
      </c>
    </row>
    <row r="13" ht="13.5" thickBot="1">
      <c r="K13" s="394"/>
    </row>
    <row r="14" spans="1:55" ht="30.75" customHeight="1" thickBot="1">
      <c r="A14" s="1476" t="s">
        <v>54</v>
      </c>
      <c r="B14" s="1477"/>
      <c r="C14" s="1477"/>
      <c r="D14" s="1478"/>
      <c r="E14" s="308">
        <v>16</v>
      </c>
      <c r="F14" s="308">
        <v>27</v>
      </c>
      <c r="G14" s="308">
        <v>27</v>
      </c>
      <c r="H14" s="308">
        <v>27</v>
      </c>
      <c r="I14" s="308">
        <v>27</v>
      </c>
      <c r="J14" s="308">
        <v>27</v>
      </c>
      <c r="K14" s="308">
        <v>27</v>
      </c>
      <c r="L14" s="1473"/>
      <c r="M14" s="1474"/>
      <c r="N14" s="1475"/>
      <c r="O14" s="308"/>
      <c r="P14" s="1473"/>
      <c r="Q14" s="1474"/>
      <c r="R14" s="1475"/>
      <c r="S14" s="308">
        <v>15</v>
      </c>
      <c r="T14" s="1473"/>
      <c r="U14" s="1474"/>
      <c r="V14" s="1475"/>
      <c r="W14" s="308"/>
      <c r="X14" s="1473"/>
      <c r="Y14" s="1474"/>
      <c r="Z14" s="1475"/>
      <c r="AA14" s="308"/>
      <c r="AB14" s="1473"/>
      <c r="AC14" s="1474"/>
      <c r="AD14" s="1475"/>
      <c r="AE14" s="308">
        <v>11</v>
      </c>
      <c r="AF14" s="1473"/>
      <c r="AG14" s="1474"/>
      <c r="AH14" s="1475"/>
      <c r="AI14" s="308"/>
      <c r="AJ14" s="1473"/>
      <c r="AK14" s="1474"/>
      <c r="AL14" s="1475"/>
      <c r="AM14" s="308">
        <v>17</v>
      </c>
      <c r="AN14" s="1473"/>
      <c r="AO14" s="1474"/>
      <c r="AP14" s="1475"/>
      <c r="AQ14" s="308">
        <v>17</v>
      </c>
      <c r="AR14" s="1473"/>
      <c r="AS14" s="1474"/>
      <c r="AT14" s="1475"/>
      <c r="AU14" s="308">
        <v>17</v>
      </c>
      <c r="AV14" s="1473"/>
      <c r="AW14" s="1474"/>
      <c r="AX14" s="1475"/>
      <c r="AY14" s="308">
        <v>17</v>
      </c>
      <c r="AZ14" s="1473"/>
      <c r="BA14" s="1474"/>
      <c r="BB14" s="1475"/>
      <c r="BC14" s="1040">
        <v>9</v>
      </c>
    </row>
    <row r="16" ht="12.75">
      <c r="A16" s="42" t="s">
        <v>110</v>
      </c>
    </row>
    <row r="18" spans="5:9" ht="12.75">
      <c r="E18" s="303"/>
      <c r="F18" s="303"/>
      <c r="G18" s="303"/>
      <c r="H18" s="303"/>
      <c r="I18" s="303"/>
    </row>
  </sheetData>
  <sheetProtection/>
  <mergeCells count="31">
    <mergeCell ref="AZ7:BC7"/>
    <mergeCell ref="AZ14:BB14"/>
    <mergeCell ref="AJ7:AM7"/>
    <mergeCell ref="AJ14:AL14"/>
    <mergeCell ref="AF7:AI7"/>
    <mergeCell ref="AF14:AH14"/>
    <mergeCell ref="AV7:AY7"/>
    <mergeCell ref="AV14:AX14"/>
    <mergeCell ref="A14:D14"/>
    <mergeCell ref="T7:W7"/>
    <mergeCell ref="T14:V14"/>
    <mergeCell ref="AB7:AE7"/>
    <mergeCell ref="J6:K6"/>
    <mergeCell ref="L7:O7"/>
    <mergeCell ref="A7:A8"/>
    <mergeCell ref="J7:K7"/>
    <mergeCell ref="AB14:AD14"/>
    <mergeCell ref="X14:Z14"/>
    <mergeCell ref="AN7:AQ7"/>
    <mergeCell ref="AN14:AP14"/>
    <mergeCell ref="L14:N14"/>
    <mergeCell ref="P14:R14"/>
    <mergeCell ref="P7:S7"/>
    <mergeCell ref="AR7:AU7"/>
    <mergeCell ref="AR14:AT14"/>
    <mergeCell ref="D2:E2"/>
    <mergeCell ref="B7:E7"/>
    <mergeCell ref="A4:E4"/>
    <mergeCell ref="B6:I6"/>
    <mergeCell ref="F7:I7"/>
    <mergeCell ref="X7:AA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41.00390625" style="1234" customWidth="1"/>
    <col min="2" max="2" width="15.57421875" style="1234" bestFit="1" customWidth="1"/>
    <col min="3" max="3" width="15.00390625" style="1234" bestFit="1" customWidth="1"/>
    <col min="4" max="4" width="18.00390625" style="1234" customWidth="1"/>
    <col min="5" max="5" width="11.140625" style="1234" bestFit="1" customWidth="1"/>
    <col min="6" max="16384" width="9.140625" style="1234" customWidth="1"/>
  </cols>
  <sheetData>
    <row r="1" spans="1:5" ht="12.75">
      <c r="A1" s="1486" t="s">
        <v>431</v>
      </c>
      <c r="B1" s="1486"/>
      <c r="C1" s="1486"/>
      <c r="D1" s="1486"/>
      <c r="E1" s="1486"/>
    </row>
    <row r="3" spans="1:5" ht="12.75">
      <c r="A3" s="1484" t="s">
        <v>1099</v>
      </c>
      <c r="B3" s="1484"/>
      <c r="C3" s="1484"/>
      <c r="D3" s="1484"/>
      <c r="E3" s="1484"/>
    </row>
    <row r="5" spans="1:5" ht="12.75">
      <c r="A5" s="1485" t="s">
        <v>573</v>
      </c>
      <c r="B5" s="1485"/>
      <c r="C5" s="1485"/>
      <c r="D5" s="1485"/>
      <c r="E5" s="1485"/>
    </row>
    <row r="6" spans="1:5" ht="38.25">
      <c r="A6" s="1238" t="s">
        <v>4</v>
      </c>
      <c r="B6" s="1238" t="s">
        <v>220</v>
      </c>
      <c r="C6" s="1238" t="s">
        <v>1086</v>
      </c>
      <c r="D6" s="1238" t="s">
        <v>221</v>
      </c>
      <c r="E6" s="1238" t="s">
        <v>1</v>
      </c>
    </row>
    <row r="7" spans="1:5" ht="12.75">
      <c r="A7" s="1228" t="s">
        <v>1098</v>
      </c>
      <c r="B7" s="1230">
        <v>488901905</v>
      </c>
      <c r="C7" s="1229">
        <v>2997619</v>
      </c>
      <c r="D7" s="1230">
        <v>40568466</v>
      </c>
      <c r="E7" s="1230">
        <f>SUM(B7:D7)</f>
        <v>532467990</v>
      </c>
    </row>
    <row r="8" spans="1:5" ht="12.75">
      <c r="A8" s="1228" t="s">
        <v>1089</v>
      </c>
      <c r="B8" s="1230">
        <v>313312401</v>
      </c>
      <c r="C8" s="1229">
        <v>92462315</v>
      </c>
      <c r="D8" s="1230">
        <v>126259217</v>
      </c>
      <c r="E8" s="1230">
        <f aca="true" t="shared" si="0" ref="E8:E16">SUM(B8:D8)</f>
        <v>532033933</v>
      </c>
    </row>
    <row r="9" spans="1:5" ht="12.75">
      <c r="A9" s="1231" t="s">
        <v>1090</v>
      </c>
      <c r="B9" s="1233">
        <v>175589504</v>
      </c>
      <c r="C9" s="1232">
        <v>-89464696</v>
      </c>
      <c r="D9" s="1233">
        <v>-85690751</v>
      </c>
      <c r="E9" s="1233">
        <f t="shared" si="0"/>
        <v>434057</v>
      </c>
    </row>
    <row r="10" spans="1:5" ht="12.75">
      <c r="A10" s="1228" t="s">
        <v>1091</v>
      </c>
      <c r="B10" s="1230">
        <v>154124577</v>
      </c>
      <c r="C10" s="1229">
        <v>89977820</v>
      </c>
      <c r="D10" s="1230">
        <v>87455834</v>
      </c>
      <c r="E10" s="1230">
        <f t="shared" si="0"/>
        <v>331558231</v>
      </c>
    </row>
    <row r="11" spans="1:5" ht="12.75">
      <c r="A11" s="1228" t="s">
        <v>1092</v>
      </c>
      <c r="B11" s="1230">
        <v>214288068</v>
      </c>
      <c r="C11" s="1229">
        <v>0</v>
      </c>
      <c r="D11" s="1230">
        <v>0</v>
      </c>
      <c r="E11" s="1230">
        <f t="shared" si="0"/>
        <v>214288068</v>
      </c>
    </row>
    <row r="12" spans="1:5" ht="12.75">
      <c r="A12" s="1231" t="s">
        <v>1093</v>
      </c>
      <c r="B12" s="1233">
        <v>-60163491</v>
      </c>
      <c r="C12" s="1232">
        <v>89977820</v>
      </c>
      <c r="D12" s="1233">
        <v>87455834</v>
      </c>
      <c r="E12" s="1233">
        <f t="shared" si="0"/>
        <v>117270163</v>
      </c>
    </row>
    <row r="13" spans="1:5" ht="12.75">
      <c r="A13" s="1231" t="s">
        <v>1094</v>
      </c>
      <c r="B13" s="1233">
        <v>115426013</v>
      </c>
      <c r="C13" s="1232">
        <v>513124</v>
      </c>
      <c r="D13" s="1233">
        <v>1765083</v>
      </c>
      <c r="E13" s="1233">
        <f t="shared" si="0"/>
        <v>117704220</v>
      </c>
    </row>
    <row r="14" spans="1:5" ht="12.75">
      <c r="A14" s="1231" t="s">
        <v>1095</v>
      </c>
      <c r="B14" s="1233">
        <v>115426013</v>
      </c>
      <c r="C14" s="1232">
        <v>513124</v>
      </c>
      <c r="D14" s="1233">
        <v>1765083</v>
      </c>
      <c r="E14" s="1233">
        <f t="shared" si="0"/>
        <v>117704220</v>
      </c>
    </row>
    <row r="15" spans="1:5" ht="25.5">
      <c r="A15" s="1231" t="s">
        <v>1096</v>
      </c>
      <c r="B15" s="1233">
        <v>708492</v>
      </c>
      <c r="C15" s="1232">
        <v>0</v>
      </c>
      <c r="D15" s="1233">
        <v>0</v>
      </c>
      <c r="E15" s="1233">
        <f t="shared" si="0"/>
        <v>708492</v>
      </c>
    </row>
    <row r="16" spans="1:5" ht="12.75">
      <c r="A16" s="1231" t="s">
        <v>1097</v>
      </c>
      <c r="B16" s="1233">
        <v>114717521</v>
      </c>
      <c r="C16" s="1232">
        <v>513124</v>
      </c>
      <c r="D16" s="1233">
        <v>1765083</v>
      </c>
      <c r="E16" s="1233">
        <f t="shared" si="0"/>
        <v>116995728</v>
      </c>
    </row>
  </sheetData>
  <sheetProtection/>
  <mergeCells count="3">
    <mergeCell ref="A3:E3"/>
    <mergeCell ref="A5:E5"/>
    <mergeCell ref="A1:E1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-2b-38-661d3d-42-68-14-6a254b-2d-43a155c-5b-38-2f18&amp;C&amp;R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2"/>
  <sheetViews>
    <sheetView zoomScalePageLayoutView="0" workbookViewId="0" topLeftCell="A1">
      <pane ySplit="8" topLeftCell="A220" activePane="bottomLeft" state="frozen"/>
      <selection pane="topLeft" activeCell="A1" sqref="A1"/>
      <selection pane="bottomLeft" activeCell="G259" sqref="G259"/>
    </sheetView>
  </sheetViews>
  <sheetFormatPr defaultColWidth="9.140625" defaultRowHeight="12.75"/>
  <cols>
    <col min="1" max="1" width="41.00390625" style="1234" customWidth="1"/>
    <col min="2" max="2" width="12.7109375" style="1234" bestFit="1" customWidth="1"/>
    <col min="3" max="3" width="14.57421875" style="1234" customWidth="1"/>
    <col min="4" max="5" width="10.7109375" style="1234" bestFit="1" customWidth="1"/>
    <col min="6" max="6" width="10.140625" style="1234" bestFit="1" customWidth="1"/>
    <col min="7" max="7" width="10.7109375" style="1234" bestFit="1" customWidth="1"/>
    <col min="8" max="8" width="13.00390625" style="1234" customWidth="1"/>
    <col min="9" max="9" width="15.421875" style="1234" customWidth="1"/>
    <col min="10" max="10" width="9.140625" style="1234" customWidth="1"/>
    <col min="11" max="11" width="10.140625" style="1234" customWidth="1"/>
    <col min="12" max="16384" width="9.140625" style="1234" customWidth="1"/>
  </cols>
  <sheetData>
    <row r="1" spans="1:9" ht="12.75">
      <c r="A1" s="1486" t="s">
        <v>422</v>
      </c>
      <c r="B1" s="1486"/>
      <c r="C1" s="1486"/>
      <c r="D1" s="1486"/>
      <c r="E1" s="1486"/>
      <c r="F1" s="1486"/>
      <c r="G1" s="1486"/>
      <c r="H1" s="1486"/>
      <c r="I1" s="1486"/>
    </row>
    <row r="2" spans="1:9" ht="12.75">
      <c r="A2" s="1484" t="s">
        <v>670</v>
      </c>
      <c r="B2" s="1484"/>
      <c r="C2" s="1484"/>
      <c r="D2" s="1484"/>
      <c r="E2" s="1484"/>
      <c r="F2" s="1484"/>
      <c r="G2" s="1484"/>
      <c r="H2" s="1484"/>
      <c r="I2" s="1484"/>
    </row>
    <row r="3" spans="1:9" ht="12.75">
      <c r="A3" s="1484" t="s">
        <v>1087</v>
      </c>
      <c r="B3" s="1484"/>
      <c r="C3" s="1484"/>
      <c r="D3" s="1484"/>
      <c r="E3" s="1484"/>
      <c r="F3" s="1484"/>
      <c r="G3" s="1484"/>
      <c r="H3" s="1484"/>
      <c r="I3" s="1484"/>
    </row>
    <row r="6" spans="1:9" ht="12.75">
      <c r="A6" s="1485" t="s">
        <v>573</v>
      </c>
      <c r="B6" s="1485"/>
      <c r="C6" s="1485"/>
      <c r="D6" s="1485"/>
      <c r="E6" s="1485"/>
      <c r="F6" s="1485"/>
      <c r="G6" s="1485"/>
      <c r="H6" s="1485"/>
      <c r="I6" s="1485"/>
    </row>
    <row r="7" spans="1:9" s="1237" customFormat="1" ht="33.75" customHeight="1">
      <c r="A7" s="1236"/>
      <c r="B7" s="1489" t="s">
        <v>220</v>
      </c>
      <c r="C7" s="1489"/>
      <c r="D7" s="1489" t="s">
        <v>1086</v>
      </c>
      <c r="E7" s="1489"/>
      <c r="F7" s="1489" t="s">
        <v>221</v>
      </c>
      <c r="G7" s="1489"/>
      <c r="H7" s="1487" t="s">
        <v>1088</v>
      </c>
      <c r="I7" s="1488"/>
    </row>
    <row r="8" spans="1:9" ht="25.5">
      <c r="A8" s="1235" t="s">
        <v>4</v>
      </c>
      <c r="B8" s="1235" t="s">
        <v>830</v>
      </c>
      <c r="C8" s="1235" t="s">
        <v>831</v>
      </c>
      <c r="D8" s="1235" t="s">
        <v>830</v>
      </c>
      <c r="E8" s="1235" t="s">
        <v>831</v>
      </c>
      <c r="F8" s="1235" t="s">
        <v>830</v>
      </c>
      <c r="G8" s="1235" t="s">
        <v>831</v>
      </c>
      <c r="H8" s="1235" t="s">
        <v>830</v>
      </c>
      <c r="I8" s="1235" t="s">
        <v>831</v>
      </c>
    </row>
    <row r="9" spans="1:9" ht="12.75">
      <c r="A9" s="1228" t="s">
        <v>832</v>
      </c>
      <c r="B9" s="1229">
        <v>0</v>
      </c>
      <c r="C9" s="1229">
        <v>0</v>
      </c>
      <c r="D9" s="1230">
        <v>391080</v>
      </c>
      <c r="E9" s="1230">
        <v>167080</v>
      </c>
      <c r="F9" s="1230">
        <v>0</v>
      </c>
      <c r="G9" s="1230">
        <v>0</v>
      </c>
      <c r="H9" s="1230">
        <f>B9+D9+F9</f>
        <v>391080</v>
      </c>
      <c r="I9" s="1230">
        <f>C9+E9+G9</f>
        <v>167080</v>
      </c>
    </row>
    <row r="10" spans="1:9" ht="12.75" hidden="1">
      <c r="A10" s="1228" t="s">
        <v>833</v>
      </c>
      <c r="B10" s="1229">
        <v>0</v>
      </c>
      <c r="C10" s="1229">
        <v>0</v>
      </c>
      <c r="D10" s="1230">
        <v>0</v>
      </c>
      <c r="E10" s="1230">
        <v>0</v>
      </c>
      <c r="F10" s="1230">
        <v>0</v>
      </c>
      <c r="G10" s="1230">
        <v>0</v>
      </c>
      <c r="H10" s="1230">
        <f aca="true" t="shared" si="0" ref="H10:H73">B10+D10+F10</f>
        <v>0</v>
      </c>
      <c r="I10" s="1230">
        <f aca="true" t="shared" si="1" ref="I10:I73">C10+E10+G10</f>
        <v>0</v>
      </c>
    </row>
    <row r="11" spans="1:9" ht="12.75" hidden="1">
      <c r="A11" s="1228" t="s">
        <v>834</v>
      </c>
      <c r="B11" s="1229">
        <v>0</v>
      </c>
      <c r="C11" s="1229">
        <v>0</v>
      </c>
      <c r="D11" s="1230">
        <v>0</v>
      </c>
      <c r="E11" s="1230">
        <v>0</v>
      </c>
      <c r="F11" s="1230">
        <v>0</v>
      </c>
      <c r="G11" s="1230">
        <v>0</v>
      </c>
      <c r="H11" s="1230">
        <f t="shared" si="0"/>
        <v>0</v>
      </c>
      <c r="I11" s="1230">
        <f t="shared" si="1"/>
        <v>0</v>
      </c>
    </row>
    <row r="12" spans="1:9" ht="12.75">
      <c r="A12" s="1231" t="s">
        <v>835</v>
      </c>
      <c r="B12" s="1232">
        <v>0</v>
      </c>
      <c r="C12" s="1232">
        <v>0</v>
      </c>
      <c r="D12" s="1233">
        <v>391080</v>
      </c>
      <c r="E12" s="1233">
        <v>167080</v>
      </c>
      <c r="F12" s="1233">
        <v>0</v>
      </c>
      <c r="G12" s="1233">
        <v>0</v>
      </c>
      <c r="H12" s="1233">
        <f t="shared" si="0"/>
        <v>391080</v>
      </c>
      <c r="I12" s="1233">
        <f t="shared" si="1"/>
        <v>167080</v>
      </c>
    </row>
    <row r="13" spans="1:9" ht="25.5">
      <c r="A13" s="1228" t="s">
        <v>836</v>
      </c>
      <c r="B13" s="1229">
        <v>1089432244</v>
      </c>
      <c r="C13" s="1229">
        <v>695149611</v>
      </c>
      <c r="D13" s="1230">
        <v>0</v>
      </c>
      <c r="E13" s="1230">
        <v>0</v>
      </c>
      <c r="F13" s="1230">
        <v>0</v>
      </c>
      <c r="G13" s="1230">
        <v>0</v>
      </c>
      <c r="H13" s="1230">
        <f t="shared" si="0"/>
        <v>1089432244</v>
      </c>
      <c r="I13" s="1230">
        <f t="shared" si="1"/>
        <v>695149611</v>
      </c>
    </row>
    <row r="14" spans="1:9" ht="25.5">
      <c r="A14" s="1228" t="s">
        <v>837</v>
      </c>
      <c r="B14" s="1229">
        <v>2518451</v>
      </c>
      <c r="C14" s="1229">
        <v>2629831</v>
      </c>
      <c r="D14" s="1230">
        <v>101983</v>
      </c>
      <c r="E14" s="1230">
        <v>360954</v>
      </c>
      <c r="F14" s="1230">
        <v>2068801</v>
      </c>
      <c r="G14" s="1230">
        <v>1522777</v>
      </c>
      <c r="H14" s="1230">
        <f t="shared" si="0"/>
        <v>4689235</v>
      </c>
      <c r="I14" s="1230">
        <f t="shared" si="1"/>
        <v>4513562</v>
      </c>
    </row>
    <row r="15" spans="1:9" ht="12.75" hidden="1">
      <c r="A15" s="1228" t="s">
        <v>838</v>
      </c>
      <c r="B15" s="1229">
        <v>0</v>
      </c>
      <c r="C15" s="1229">
        <v>0</v>
      </c>
      <c r="D15" s="1230">
        <v>0</v>
      </c>
      <c r="E15" s="1230">
        <v>0</v>
      </c>
      <c r="F15" s="1230">
        <v>0</v>
      </c>
      <c r="G15" s="1230">
        <v>0</v>
      </c>
      <c r="H15" s="1230">
        <f t="shared" si="0"/>
        <v>0</v>
      </c>
      <c r="I15" s="1230">
        <f t="shared" si="1"/>
        <v>0</v>
      </c>
    </row>
    <row r="16" spans="1:9" ht="12.75">
      <c r="A16" s="1228" t="s">
        <v>839</v>
      </c>
      <c r="B16" s="1229">
        <v>18733278</v>
      </c>
      <c r="C16" s="1229">
        <v>26590015</v>
      </c>
      <c r="D16" s="1230">
        <v>0</v>
      </c>
      <c r="E16" s="1230">
        <v>0</v>
      </c>
      <c r="F16" s="1230">
        <v>0</v>
      </c>
      <c r="G16" s="1230">
        <v>0</v>
      </c>
      <c r="H16" s="1230">
        <f t="shared" si="0"/>
        <v>18733278</v>
      </c>
      <c r="I16" s="1230">
        <f t="shared" si="1"/>
        <v>26590015</v>
      </c>
    </row>
    <row r="17" spans="1:9" ht="12.75" hidden="1">
      <c r="A17" s="1228" t="s">
        <v>840</v>
      </c>
      <c r="B17" s="1229">
        <v>0</v>
      </c>
      <c r="C17" s="1229">
        <v>0</v>
      </c>
      <c r="D17" s="1230">
        <v>0</v>
      </c>
      <c r="E17" s="1230">
        <v>0</v>
      </c>
      <c r="F17" s="1230">
        <v>0</v>
      </c>
      <c r="G17" s="1230">
        <v>0</v>
      </c>
      <c r="H17" s="1230">
        <f t="shared" si="0"/>
        <v>0</v>
      </c>
      <c r="I17" s="1230">
        <f t="shared" si="1"/>
        <v>0</v>
      </c>
    </row>
    <row r="18" spans="1:9" ht="12.75">
      <c r="A18" s="1231" t="s">
        <v>841</v>
      </c>
      <c r="B18" s="1232">
        <v>1110683973</v>
      </c>
      <c r="C18" s="1232">
        <v>724369457</v>
      </c>
      <c r="D18" s="1233">
        <v>101983</v>
      </c>
      <c r="E18" s="1233">
        <v>360954</v>
      </c>
      <c r="F18" s="1233">
        <v>2068801</v>
      </c>
      <c r="G18" s="1233">
        <v>1522777</v>
      </c>
      <c r="H18" s="1233">
        <f t="shared" si="0"/>
        <v>1112854757</v>
      </c>
      <c r="I18" s="1233">
        <f t="shared" si="1"/>
        <v>726253188</v>
      </c>
    </row>
    <row r="19" spans="1:9" ht="25.5">
      <c r="A19" s="1228" t="s">
        <v>842</v>
      </c>
      <c r="B19" s="1229">
        <v>11580000</v>
      </c>
      <c r="C19" s="1229">
        <v>11580000</v>
      </c>
      <c r="D19" s="1230">
        <v>0</v>
      </c>
      <c r="E19" s="1230">
        <v>0</v>
      </c>
      <c r="F19" s="1230">
        <v>0</v>
      </c>
      <c r="G19" s="1230">
        <v>0</v>
      </c>
      <c r="H19" s="1230">
        <f t="shared" si="0"/>
        <v>11580000</v>
      </c>
      <c r="I19" s="1230">
        <f t="shared" si="1"/>
        <v>11580000</v>
      </c>
    </row>
    <row r="20" spans="1:9" ht="25.5" hidden="1">
      <c r="A20" s="1228" t="s">
        <v>843</v>
      </c>
      <c r="B20" s="1229">
        <v>0</v>
      </c>
      <c r="C20" s="1229">
        <v>0</v>
      </c>
      <c r="D20" s="1230">
        <v>0</v>
      </c>
      <c r="E20" s="1230">
        <v>0</v>
      </c>
      <c r="F20" s="1230">
        <v>0</v>
      </c>
      <c r="G20" s="1230">
        <v>0</v>
      </c>
      <c r="H20" s="1230">
        <f t="shared" si="0"/>
        <v>0</v>
      </c>
      <c r="I20" s="1230">
        <f t="shared" si="1"/>
        <v>0</v>
      </c>
    </row>
    <row r="21" spans="1:9" ht="25.5">
      <c r="A21" s="1228" t="s">
        <v>844</v>
      </c>
      <c r="B21" s="1229">
        <v>11580000</v>
      </c>
      <c r="C21" s="1229">
        <v>11580000</v>
      </c>
      <c r="D21" s="1230">
        <v>0</v>
      </c>
      <c r="E21" s="1230">
        <v>0</v>
      </c>
      <c r="F21" s="1230">
        <v>0</v>
      </c>
      <c r="G21" s="1230">
        <v>0</v>
      </c>
      <c r="H21" s="1230">
        <f t="shared" si="0"/>
        <v>11580000</v>
      </c>
      <c r="I21" s="1230">
        <f t="shared" si="1"/>
        <v>11580000</v>
      </c>
    </row>
    <row r="22" spans="1:9" ht="25.5" hidden="1">
      <c r="A22" s="1228" t="s">
        <v>845</v>
      </c>
      <c r="B22" s="1229">
        <v>0</v>
      </c>
      <c r="C22" s="1229">
        <v>0</v>
      </c>
      <c r="D22" s="1230">
        <v>0</v>
      </c>
      <c r="E22" s="1230">
        <v>0</v>
      </c>
      <c r="F22" s="1230">
        <v>0</v>
      </c>
      <c r="G22" s="1230">
        <v>0</v>
      </c>
      <c r="H22" s="1230">
        <f t="shared" si="0"/>
        <v>0</v>
      </c>
      <c r="I22" s="1230">
        <f t="shared" si="1"/>
        <v>0</v>
      </c>
    </row>
    <row r="23" spans="1:9" ht="25.5" hidden="1">
      <c r="A23" s="1228" t="s">
        <v>846</v>
      </c>
      <c r="B23" s="1229">
        <v>0</v>
      </c>
      <c r="C23" s="1229">
        <v>0</v>
      </c>
      <c r="D23" s="1230">
        <v>0</v>
      </c>
      <c r="E23" s="1230">
        <v>0</v>
      </c>
      <c r="F23" s="1230">
        <v>0</v>
      </c>
      <c r="G23" s="1230">
        <v>0</v>
      </c>
      <c r="H23" s="1230">
        <f t="shared" si="0"/>
        <v>0</v>
      </c>
      <c r="I23" s="1230">
        <f t="shared" si="1"/>
        <v>0</v>
      </c>
    </row>
    <row r="24" spans="1:9" ht="12.75" hidden="1">
      <c r="A24" s="1228" t="s">
        <v>847</v>
      </c>
      <c r="B24" s="1229">
        <v>0</v>
      </c>
      <c r="C24" s="1229">
        <v>0</v>
      </c>
      <c r="D24" s="1230">
        <v>0</v>
      </c>
      <c r="E24" s="1230">
        <v>0</v>
      </c>
      <c r="F24" s="1230">
        <v>0</v>
      </c>
      <c r="G24" s="1230">
        <v>0</v>
      </c>
      <c r="H24" s="1230">
        <f t="shared" si="0"/>
        <v>0</v>
      </c>
      <c r="I24" s="1230">
        <f t="shared" si="1"/>
        <v>0</v>
      </c>
    </row>
    <row r="25" spans="1:9" ht="25.5" hidden="1">
      <c r="A25" s="1228" t="s">
        <v>848</v>
      </c>
      <c r="B25" s="1229">
        <v>0</v>
      </c>
      <c r="C25" s="1229">
        <v>0</v>
      </c>
      <c r="D25" s="1230">
        <v>0</v>
      </c>
      <c r="E25" s="1230">
        <v>0</v>
      </c>
      <c r="F25" s="1230">
        <v>0</v>
      </c>
      <c r="G25" s="1230">
        <v>0</v>
      </c>
      <c r="H25" s="1230">
        <f t="shared" si="0"/>
        <v>0</v>
      </c>
      <c r="I25" s="1230">
        <f t="shared" si="1"/>
        <v>0</v>
      </c>
    </row>
    <row r="26" spans="1:9" ht="12.75" hidden="1">
      <c r="A26" s="1228" t="s">
        <v>849</v>
      </c>
      <c r="B26" s="1229">
        <v>0</v>
      </c>
      <c r="C26" s="1229">
        <v>0</v>
      </c>
      <c r="D26" s="1230">
        <v>0</v>
      </c>
      <c r="E26" s="1230">
        <v>0</v>
      </c>
      <c r="F26" s="1230">
        <v>0</v>
      </c>
      <c r="G26" s="1230">
        <v>0</v>
      </c>
      <c r="H26" s="1230">
        <f t="shared" si="0"/>
        <v>0</v>
      </c>
      <c r="I26" s="1230">
        <f t="shared" si="1"/>
        <v>0</v>
      </c>
    </row>
    <row r="27" spans="1:9" ht="25.5" hidden="1">
      <c r="A27" s="1228" t="s">
        <v>850</v>
      </c>
      <c r="B27" s="1229">
        <v>0</v>
      </c>
      <c r="C27" s="1229">
        <v>0</v>
      </c>
      <c r="D27" s="1230">
        <v>0</v>
      </c>
      <c r="E27" s="1230">
        <v>0</v>
      </c>
      <c r="F27" s="1230">
        <v>0</v>
      </c>
      <c r="G27" s="1230">
        <v>0</v>
      </c>
      <c r="H27" s="1230">
        <f t="shared" si="0"/>
        <v>0</v>
      </c>
      <c r="I27" s="1230">
        <f t="shared" si="1"/>
        <v>0</v>
      </c>
    </row>
    <row r="28" spans="1:9" ht="25.5" hidden="1">
      <c r="A28" s="1228" t="s">
        <v>851</v>
      </c>
      <c r="B28" s="1229">
        <v>0</v>
      </c>
      <c r="C28" s="1229">
        <v>0</v>
      </c>
      <c r="D28" s="1230">
        <v>0</v>
      </c>
      <c r="E28" s="1230">
        <v>0</v>
      </c>
      <c r="F28" s="1230">
        <v>0</v>
      </c>
      <c r="G28" s="1230">
        <v>0</v>
      </c>
      <c r="H28" s="1230">
        <f t="shared" si="0"/>
        <v>0</v>
      </c>
      <c r="I28" s="1230">
        <f t="shared" si="1"/>
        <v>0</v>
      </c>
    </row>
    <row r="29" spans="1:9" ht="25.5">
      <c r="A29" s="1231" t="s">
        <v>852</v>
      </c>
      <c r="B29" s="1232">
        <v>11580000</v>
      </c>
      <c r="C29" s="1232">
        <v>11580000</v>
      </c>
      <c r="D29" s="1233">
        <v>0</v>
      </c>
      <c r="E29" s="1233">
        <v>0</v>
      </c>
      <c r="F29" s="1233">
        <v>0</v>
      </c>
      <c r="G29" s="1233">
        <v>0</v>
      </c>
      <c r="H29" s="1233">
        <f t="shared" si="0"/>
        <v>11580000</v>
      </c>
      <c r="I29" s="1233">
        <f t="shared" si="1"/>
        <v>11580000</v>
      </c>
    </row>
    <row r="30" spans="1:9" ht="25.5">
      <c r="A30" s="1228" t="s">
        <v>853</v>
      </c>
      <c r="B30" s="1229">
        <v>0</v>
      </c>
      <c r="C30" s="1229">
        <v>368719844</v>
      </c>
      <c r="D30" s="1230">
        <v>0</v>
      </c>
      <c r="E30" s="1230">
        <v>0</v>
      </c>
      <c r="F30" s="1230">
        <v>0</v>
      </c>
      <c r="G30" s="1230">
        <v>0</v>
      </c>
      <c r="H30" s="1230">
        <f t="shared" si="0"/>
        <v>0</v>
      </c>
      <c r="I30" s="1230">
        <f t="shared" si="1"/>
        <v>368719844</v>
      </c>
    </row>
    <row r="31" spans="1:9" ht="12.75" hidden="1">
      <c r="A31" s="1228" t="s">
        <v>854</v>
      </c>
      <c r="B31" s="1229">
        <v>0</v>
      </c>
      <c r="C31" s="1229">
        <v>0</v>
      </c>
      <c r="D31" s="1230">
        <v>0</v>
      </c>
      <c r="E31" s="1230">
        <v>0</v>
      </c>
      <c r="F31" s="1230">
        <v>0</v>
      </c>
      <c r="G31" s="1230">
        <v>0</v>
      </c>
      <c r="H31" s="1230">
        <f t="shared" si="0"/>
        <v>0</v>
      </c>
      <c r="I31" s="1230">
        <f t="shared" si="1"/>
        <v>0</v>
      </c>
    </row>
    <row r="32" spans="1:9" ht="12.75">
      <c r="A32" s="1228" t="s">
        <v>855</v>
      </c>
      <c r="B32" s="1229">
        <v>0</v>
      </c>
      <c r="C32" s="1229">
        <v>368719844</v>
      </c>
      <c r="D32" s="1230">
        <v>0</v>
      </c>
      <c r="E32" s="1230">
        <v>0</v>
      </c>
      <c r="F32" s="1230">
        <v>0</v>
      </c>
      <c r="G32" s="1230">
        <v>0</v>
      </c>
      <c r="H32" s="1230">
        <f t="shared" si="0"/>
        <v>0</v>
      </c>
      <c r="I32" s="1230">
        <f t="shared" si="1"/>
        <v>368719844</v>
      </c>
    </row>
    <row r="33" spans="1:9" ht="25.5" hidden="1">
      <c r="A33" s="1228" t="s">
        <v>856</v>
      </c>
      <c r="B33" s="1229">
        <v>0</v>
      </c>
      <c r="C33" s="1229">
        <v>0</v>
      </c>
      <c r="D33" s="1230">
        <v>0</v>
      </c>
      <c r="E33" s="1230">
        <v>0</v>
      </c>
      <c r="F33" s="1230">
        <v>0</v>
      </c>
      <c r="G33" s="1230">
        <v>0</v>
      </c>
      <c r="H33" s="1230">
        <f t="shared" si="0"/>
        <v>0</v>
      </c>
      <c r="I33" s="1230">
        <f t="shared" si="1"/>
        <v>0</v>
      </c>
    </row>
    <row r="34" spans="1:9" ht="25.5" hidden="1">
      <c r="A34" s="1228" t="s">
        <v>857</v>
      </c>
      <c r="B34" s="1229">
        <v>0</v>
      </c>
      <c r="C34" s="1229">
        <v>0</v>
      </c>
      <c r="D34" s="1230">
        <v>0</v>
      </c>
      <c r="E34" s="1230">
        <v>0</v>
      </c>
      <c r="F34" s="1230">
        <v>0</v>
      </c>
      <c r="G34" s="1230">
        <v>0</v>
      </c>
      <c r="H34" s="1230">
        <f t="shared" si="0"/>
        <v>0</v>
      </c>
      <c r="I34" s="1230">
        <f t="shared" si="1"/>
        <v>0</v>
      </c>
    </row>
    <row r="35" spans="1:9" ht="25.5">
      <c r="A35" s="1231" t="s">
        <v>858</v>
      </c>
      <c r="B35" s="1232">
        <v>0</v>
      </c>
      <c r="C35" s="1232">
        <v>368719844</v>
      </c>
      <c r="D35" s="1233">
        <v>0</v>
      </c>
      <c r="E35" s="1233">
        <v>0</v>
      </c>
      <c r="F35" s="1233">
        <v>0</v>
      </c>
      <c r="G35" s="1233">
        <v>0</v>
      </c>
      <c r="H35" s="1233">
        <f t="shared" si="0"/>
        <v>0</v>
      </c>
      <c r="I35" s="1233">
        <f t="shared" si="1"/>
        <v>368719844</v>
      </c>
    </row>
    <row r="36" spans="1:9" ht="38.25">
      <c r="A36" s="1231" t="s">
        <v>859</v>
      </c>
      <c r="B36" s="1232">
        <v>1122263973</v>
      </c>
      <c r="C36" s="1232">
        <v>1104669301</v>
      </c>
      <c r="D36" s="1233">
        <v>493063</v>
      </c>
      <c r="E36" s="1233">
        <v>528034</v>
      </c>
      <c r="F36" s="1233">
        <v>2068801</v>
      </c>
      <c r="G36" s="1233">
        <v>1522777</v>
      </c>
      <c r="H36" s="1233">
        <f t="shared" si="0"/>
        <v>1124825837</v>
      </c>
      <c r="I36" s="1233">
        <f t="shared" si="1"/>
        <v>1106720112</v>
      </c>
    </row>
    <row r="37" spans="1:9" ht="12.75">
      <c r="A37" s="1228" t="s">
        <v>860</v>
      </c>
      <c r="B37" s="1229">
        <v>0</v>
      </c>
      <c r="C37" s="1229">
        <v>0</v>
      </c>
      <c r="D37" s="1230">
        <v>0</v>
      </c>
      <c r="E37" s="1230">
        <v>0</v>
      </c>
      <c r="F37" s="1230">
        <v>464460</v>
      </c>
      <c r="G37" s="1230">
        <v>440920</v>
      </c>
      <c r="H37" s="1230">
        <f t="shared" si="0"/>
        <v>464460</v>
      </c>
      <c r="I37" s="1230">
        <f t="shared" si="1"/>
        <v>440920</v>
      </c>
    </row>
    <row r="38" spans="1:9" ht="25.5" hidden="1">
      <c r="A38" s="1228" t="s">
        <v>861</v>
      </c>
      <c r="B38" s="1229">
        <v>0</v>
      </c>
      <c r="C38" s="1229">
        <v>0</v>
      </c>
      <c r="D38" s="1230">
        <v>0</v>
      </c>
      <c r="E38" s="1230">
        <v>0</v>
      </c>
      <c r="F38" s="1230">
        <v>0</v>
      </c>
      <c r="G38" s="1230">
        <v>0</v>
      </c>
      <c r="H38" s="1230">
        <f t="shared" si="0"/>
        <v>0</v>
      </c>
      <c r="I38" s="1230">
        <f t="shared" si="1"/>
        <v>0</v>
      </c>
    </row>
    <row r="39" spans="1:9" ht="12.75" hidden="1">
      <c r="A39" s="1228" t="s">
        <v>862</v>
      </c>
      <c r="B39" s="1229">
        <v>0</v>
      </c>
      <c r="C39" s="1229">
        <v>0</v>
      </c>
      <c r="D39" s="1230">
        <v>0</v>
      </c>
      <c r="E39" s="1230">
        <v>0</v>
      </c>
      <c r="F39" s="1230">
        <v>0</v>
      </c>
      <c r="G39" s="1230">
        <v>0</v>
      </c>
      <c r="H39" s="1230">
        <f t="shared" si="0"/>
        <v>0</v>
      </c>
      <c r="I39" s="1230">
        <f t="shared" si="1"/>
        <v>0</v>
      </c>
    </row>
    <row r="40" spans="1:9" ht="25.5" hidden="1">
      <c r="A40" s="1228" t="s">
        <v>863</v>
      </c>
      <c r="B40" s="1229">
        <v>0</v>
      </c>
      <c r="C40" s="1229">
        <v>0</v>
      </c>
      <c r="D40" s="1230">
        <v>0</v>
      </c>
      <c r="E40" s="1230">
        <v>0</v>
      </c>
      <c r="F40" s="1230">
        <v>0</v>
      </c>
      <c r="G40" s="1230">
        <v>0</v>
      </c>
      <c r="H40" s="1230">
        <f t="shared" si="0"/>
        <v>0</v>
      </c>
      <c r="I40" s="1230">
        <f t="shared" si="1"/>
        <v>0</v>
      </c>
    </row>
    <row r="41" spans="1:9" ht="12.75" hidden="1">
      <c r="A41" s="1228" t="s">
        <v>864</v>
      </c>
      <c r="B41" s="1229">
        <v>0</v>
      </c>
      <c r="C41" s="1229">
        <v>0</v>
      </c>
      <c r="D41" s="1230">
        <v>0</v>
      </c>
      <c r="E41" s="1230">
        <v>0</v>
      </c>
      <c r="F41" s="1230">
        <v>0</v>
      </c>
      <c r="G41" s="1230">
        <v>0</v>
      </c>
      <c r="H41" s="1230">
        <f t="shared" si="0"/>
        <v>0</v>
      </c>
      <c r="I41" s="1230">
        <f t="shared" si="1"/>
        <v>0</v>
      </c>
    </row>
    <row r="42" spans="1:9" ht="12.75">
      <c r="A42" s="1231" t="s">
        <v>865</v>
      </c>
      <c r="B42" s="1232">
        <v>0</v>
      </c>
      <c r="C42" s="1232">
        <v>0</v>
      </c>
      <c r="D42" s="1233">
        <v>0</v>
      </c>
      <c r="E42" s="1233">
        <v>0</v>
      </c>
      <c r="F42" s="1233">
        <v>464460</v>
      </c>
      <c r="G42" s="1233">
        <v>440920</v>
      </c>
      <c r="H42" s="1233">
        <f t="shared" si="0"/>
        <v>464460</v>
      </c>
      <c r="I42" s="1233">
        <f t="shared" si="1"/>
        <v>440920</v>
      </c>
    </row>
    <row r="43" spans="1:9" ht="12.75" hidden="1">
      <c r="A43" s="1228" t="s">
        <v>866</v>
      </c>
      <c r="B43" s="1229">
        <v>0</v>
      </c>
      <c r="C43" s="1229">
        <v>0</v>
      </c>
      <c r="D43" s="1230">
        <v>0</v>
      </c>
      <c r="E43" s="1230">
        <v>0</v>
      </c>
      <c r="F43" s="1230">
        <v>0</v>
      </c>
      <c r="G43" s="1230">
        <v>0</v>
      </c>
      <c r="H43" s="1230">
        <f t="shared" si="0"/>
        <v>0</v>
      </c>
      <c r="I43" s="1230">
        <f t="shared" si="1"/>
        <v>0</v>
      </c>
    </row>
    <row r="44" spans="1:9" ht="25.5">
      <c r="A44" s="1228" t="s">
        <v>867</v>
      </c>
      <c r="B44" s="1229">
        <v>0</v>
      </c>
      <c r="C44" s="1229">
        <v>28770000</v>
      </c>
      <c r="D44" s="1230">
        <v>0</v>
      </c>
      <c r="E44" s="1230">
        <v>0</v>
      </c>
      <c r="F44" s="1230">
        <v>0</v>
      </c>
      <c r="G44" s="1230">
        <v>0</v>
      </c>
      <c r="H44" s="1230">
        <f t="shared" si="0"/>
        <v>0</v>
      </c>
      <c r="I44" s="1230">
        <f t="shared" si="1"/>
        <v>28770000</v>
      </c>
    </row>
    <row r="45" spans="1:9" ht="12.75" hidden="1">
      <c r="A45" s="1228" t="s">
        <v>868</v>
      </c>
      <c r="B45" s="1229">
        <v>0</v>
      </c>
      <c r="C45" s="1229">
        <v>0</v>
      </c>
      <c r="D45" s="1230">
        <v>0</v>
      </c>
      <c r="E45" s="1230">
        <v>0</v>
      </c>
      <c r="F45" s="1230">
        <v>0</v>
      </c>
      <c r="G45" s="1230">
        <v>0</v>
      </c>
      <c r="H45" s="1230">
        <f t="shared" si="0"/>
        <v>0</v>
      </c>
      <c r="I45" s="1230">
        <f t="shared" si="1"/>
        <v>0</v>
      </c>
    </row>
    <row r="46" spans="1:9" ht="12.75">
      <c r="A46" s="1228" t="s">
        <v>869</v>
      </c>
      <c r="B46" s="1229">
        <v>0</v>
      </c>
      <c r="C46" s="1229">
        <v>28770000</v>
      </c>
      <c r="D46" s="1230">
        <v>0</v>
      </c>
      <c r="E46" s="1230">
        <v>0</v>
      </c>
      <c r="F46" s="1230">
        <v>0</v>
      </c>
      <c r="G46" s="1230">
        <v>0</v>
      </c>
      <c r="H46" s="1230">
        <f t="shared" si="0"/>
        <v>0</v>
      </c>
      <c r="I46" s="1230">
        <f t="shared" si="1"/>
        <v>28770000</v>
      </c>
    </row>
    <row r="47" spans="1:9" ht="12.75" hidden="1">
      <c r="A47" s="1228" t="s">
        <v>870</v>
      </c>
      <c r="B47" s="1229">
        <v>0</v>
      </c>
      <c r="C47" s="1229">
        <v>0</v>
      </c>
      <c r="D47" s="1230">
        <v>0</v>
      </c>
      <c r="E47" s="1230">
        <v>0</v>
      </c>
      <c r="F47" s="1230">
        <v>0</v>
      </c>
      <c r="G47" s="1230">
        <v>0</v>
      </c>
      <c r="H47" s="1230">
        <f t="shared" si="0"/>
        <v>0</v>
      </c>
      <c r="I47" s="1230">
        <f t="shared" si="1"/>
        <v>0</v>
      </c>
    </row>
    <row r="48" spans="1:9" ht="12.75" hidden="1">
      <c r="A48" s="1228" t="s">
        <v>871</v>
      </c>
      <c r="B48" s="1229">
        <v>0</v>
      </c>
      <c r="C48" s="1229">
        <v>0</v>
      </c>
      <c r="D48" s="1230">
        <v>0</v>
      </c>
      <c r="E48" s="1230">
        <v>0</v>
      </c>
      <c r="F48" s="1230">
        <v>0</v>
      </c>
      <c r="G48" s="1230">
        <v>0</v>
      </c>
      <c r="H48" s="1230">
        <f t="shared" si="0"/>
        <v>0</v>
      </c>
      <c r="I48" s="1230">
        <f t="shared" si="1"/>
        <v>0</v>
      </c>
    </row>
    <row r="49" spans="1:9" ht="12.75" hidden="1">
      <c r="A49" s="1228" t="s">
        <v>872</v>
      </c>
      <c r="B49" s="1229">
        <v>0</v>
      </c>
      <c r="C49" s="1229">
        <v>0</v>
      </c>
      <c r="D49" s="1230">
        <v>0</v>
      </c>
      <c r="E49" s="1230">
        <v>0</v>
      </c>
      <c r="F49" s="1230">
        <v>0</v>
      </c>
      <c r="G49" s="1230">
        <v>0</v>
      </c>
      <c r="H49" s="1230">
        <f t="shared" si="0"/>
        <v>0</v>
      </c>
      <c r="I49" s="1230">
        <f t="shared" si="1"/>
        <v>0</v>
      </c>
    </row>
    <row r="50" spans="1:9" ht="12.75">
      <c r="A50" s="1231" t="s">
        <v>873</v>
      </c>
      <c r="B50" s="1232">
        <v>0</v>
      </c>
      <c r="C50" s="1232">
        <v>28770000</v>
      </c>
      <c r="D50" s="1233">
        <v>0</v>
      </c>
      <c r="E50" s="1233">
        <v>0</v>
      </c>
      <c r="F50" s="1233">
        <v>0</v>
      </c>
      <c r="G50" s="1233">
        <v>0</v>
      </c>
      <c r="H50" s="1233">
        <f t="shared" si="0"/>
        <v>0</v>
      </c>
      <c r="I50" s="1233">
        <f t="shared" si="1"/>
        <v>28770000</v>
      </c>
    </row>
    <row r="51" spans="1:9" ht="25.5">
      <c r="A51" s="1231" t="s">
        <v>874</v>
      </c>
      <c r="B51" s="1232">
        <v>0</v>
      </c>
      <c r="C51" s="1232">
        <v>28770000</v>
      </c>
      <c r="D51" s="1233">
        <v>0</v>
      </c>
      <c r="E51" s="1233">
        <v>0</v>
      </c>
      <c r="F51" s="1233">
        <v>464460</v>
      </c>
      <c r="G51" s="1233">
        <v>440920</v>
      </c>
      <c r="H51" s="1233">
        <f t="shared" si="0"/>
        <v>464460</v>
      </c>
      <c r="I51" s="1233">
        <f t="shared" si="1"/>
        <v>29210920</v>
      </c>
    </row>
    <row r="52" spans="1:9" ht="25.5" hidden="1">
      <c r="A52" s="1228" t="s">
        <v>875</v>
      </c>
      <c r="B52" s="1229">
        <v>0</v>
      </c>
      <c r="C52" s="1229">
        <v>0</v>
      </c>
      <c r="D52" s="1230">
        <v>0</v>
      </c>
      <c r="E52" s="1230">
        <v>0</v>
      </c>
      <c r="F52" s="1230">
        <v>0</v>
      </c>
      <c r="G52" s="1230">
        <v>0</v>
      </c>
      <c r="H52" s="1230">
        <f t="shared" si="0"/>
        <v>0</v>
      </c>
      <c r="I52" s="1230">
        <f t="shared" si="1"/>
        <v>0</v>
      </c>
    </row>
    <row r="53" spans="1:9" ht="25.5" hidden="1">
      <c r="A53" s="1228" t="s">
        <v>876</v>
      </c>
      <c r="B53" s="1229">
        <v>0</v>
      </c>
      <c r="C53" s="1229">
        <v>0</v>
      </c>
      <c r="D53" s="1230">
        <v>0</v>
      </c>
      <c r="E53" s="1230">
        <v>0</v>
      </c>
      <c r="F53" s="1230">
        <v>0</v>
      </c>
      <c r="G53" s="1230">
        <v>0</v>
      </c>
      <c r="H53" s="1230">
        <f t="shared" si="0"/>
        <v>0</v>
      </c>
      <c r="I53" s="1230">
        <f t="shared" si="1"/>
        <v>0</v>
      </c>
    </row>
    <row r="54" spans="1:9" ht="12.75" hidden="1">
      <c r="A54" s="1231" t="s">
        <v>877</v>
      </c>
      <c r="B54" s="1232">
        <v>0</v>
      </c>
      <c r="C54" s="1232">
        <v>0</v>
      </c>
      <c r="D54" s="1233">
        <v>0</v>
      </c>
      <c r="E54" s="1233">
        <v>0</v>
      </c>
      <c r="F54" s="1233">
        <v>0</v>
      </c>
      <c r="G54" s="1233">
        <v>0</v>
      </c>
      <c r="H54" s="1233">
        <f t="shared" si="0"/>
        <v>0</v>
      </c>
      <c r="I54" s="1233">
        <f t="shared" si="1"/>
        <v>0</v>
      </c>
    </row>
    <row r="55" spans="1:9" ht="12.75" hidden="1">
      <c r="A55" s="1228" t="s">
        <v>878</v>
      </c>
      <c r="B55" s="1229">
        <v>0</v>
      </c>
      <c r="C55" s="1229">
        <v>0</v>
      </c>
      <c r="D55" s="1230">
        <v>0</v>
      </c>
      <c r="E55" s="1230">
        <v>0</v>
      </c>
      <c r="F55" s="1230">
        <v>0</v>
      </c>
      <c r="G55" s="1230">
        <v>0</v>
      </c>
      <c r="H55" s="1230">
        <f t="shared" si="0"/>
        <v>0</v>
      </c>
      <c r="I55" s="1230">
        <f t="shared" si="1"/>
        <v>0</v>
      </c>
    </row>
    <row r="56" spans="1:9" ht="12.75" hidden="1">
      <c r="A56" s="1228" t="s">
        <v>879</v>
      </c>
      <c r="B56" s="1229">
        <v>0</v>
      </c>
      <c r="C56" s="1229">
        <v>0</v>
      </c>
      <c r="D56" s="1230">
        <v>0</v>
      </c>
      <c r="E56" s="1230">
        <v>0</v>
      </c>
      <c r="F56" s="1230">
        <v>0</v>
      </c>
      <c r="G56" s="1230">
        <v>0</v>
      </c>
      <c r="H56" s="1230">
        <f t="shared" si="0"/>
        <v>0</v>
      </c>
      <c r="I56" s="1230">
        <f t="shared" si="1"/>
        <v>0</v>
      </c>
    </row>
    <row r="57" spans="1:9" ht="25.5" hidden="1">
      <c r="A57" s="1228" t="s">
        <v>880</v>
      </c>
      <c r="B57" s="1229">
        <v>0</v>
      </c>
      <c r="C57" s="1229">
        <v>0</v>
      </c>
      <c r="D57" s="1230">
        <v>0</v>
      </c>
      <c r="E57" s="1230">
        <v>0</v>
      </c>
      <c r="F57" s="1230">
        <v>0</v>
      </c>
      <c r="G57" s="1230">
        <v>0</v>
      </c>
      <c r="H57" s="1230">
        <f t="shared" si="0"/>
        <v>0</v>
      </c>
      <c r="I57" s="1230">
        <f t="shared" si="1"/>
        <v>0</v>
      </c>
    </row>
    <row r="58" spans="1:9" ht="25.5" hidden="1">
      <c r="A58" s="1231" t="s">
        <v>881</v>
      </c>
      <c r="B58" s="1232">
        <v>0</v>
      </c>
      <c r="C58" s="1232">
        <v>0</v>
      </c>
      <c r="D58" s="1233">
        <v>0</v>
      </c>
      <c r="E58" s="1233">
        <v>0</v>
      </c>
      <c r="F58" s="1233">
        <v>0</v>
      </c>
      <c r="G58" s="1233">
        <v>0</v>
      </c>
      <c r="H58" s="1233">
        <f t="shared" si="0"/>
        <v>0</v>
      </c>
      <c r="I58" s="1233">
        <f t="shared" si="1"/>
        <v>0</v>
      </c>
    </row>
    <row r="59" spans="1:9" ht="12.75">
      <c r="A59" s="1228" t="s">
        <v>882</v>
      </c>
      <c r="B59" s="1229">
        <v>136578990</v>
      </c>
      <c r="C59" s="1229">
        <v>114982607</v>
      </c>
      <c r="D59" s="1230">
        <v>63983</v>
      </c>
      <c r="E59" s="1230">
        <v>513124</v>
      </c>
      <c r="F59" s="1230">
        <v>2628557</v>
      </c>
      <c r="G59" s="1230">
        <v>1765083</v>
      </c>
      <c r="H59" s="1230">
        <f t="shared" si="0"/>
        <v>139271530</v>
      </c>
      <c r="I59" s="1230">
        <f t="shared" si="1"/>
        <v>117260814</v>
      </c>
    </row>
    <row r="60" spans="1:9" ht="12.75" hidden="1">
      <c r="A60" s="1228" t="s">
        <v>883</v>
      </c>
      <c r="B60" s="1229">
        <v>0</v>
      </c>
      <c r="C60" s="1229">
        <v>0</v>
      </c>
      <c r="D60" s="1230">
        <v>0</v>
      </c>
      <c r="E60" s="1230">
        <v>0</v>
      </c>
      <c r="F60" s="1230">
        <v>0</v>
      </c>
      <c r="G60" s="1230">
        <v>0</v>
      </c>
      <c r="H60" s="1230">
        <f t="shared" si="0"/>
        <v>0</v>
      </c>
      <c r="I60" s="1230">
        <f t="shared" si="1"/>
        <v>0</v>
      </c>
    </row>
    <row r="61" spans="1:9" ht="12.75">
      <c r="A61" s="1231" t="s">
        <v>884</v>
      </c>
      <c r="B61" s="1232">
        <v>136578990</v>
      </c>
      <c r="C61" s="1232">
        <v>114982607</v>
      </c>
      <c r="D61" s="1233">
        <v>63983</v>
      </c>
      <c r="E61" s="1233">
        <v>513124</v>
      </c>
      <c r="F61" s="1233">
        <v>2628557</v>
      </c>
      <c r="G61" s="1233">
        <v>1765083</v>
      </c>
      <c r="H61" s="1233">
        <f t="shared" si="0"/>
        <v>139271530</v>
      </c>
      <c r="I61" s="1233">
        <f t="shared" si="1"/>
        <v>117260814</v>
      </c>
    </row>
    <row r="62" spans="1:9" ht="12.75" hidden="1">
      <c r="A62" s="1228" t="s">
        <v>885</v>
      </c>
      <c r="B62" s="1229">
        <v>0</v>
      </c>
      <c r="C62" s="1229">
        <v>0</v>
      </c>
      <c r="D62" s="1230">
        <v>0</v>
      </c>
      <c r="E62" s="1230">
        <v>0</v>
      </c>
      <c r="F62" s="1230">
        <v>0</v>
      </c>
      <c r="G62" s="1230">
        <v>0</v>
      </c>
      <c r="H62" s="1230">
        <f t="shared" si="0"/>
        <v>0</v>
      </c>
      <c r="I62" s="1230">
        <f t="shared" si="1"/>
        <v>0</v>
      </c>
    </row>
    <row r="63" spans="1:9" ht="12.75" hidden="1">
      <c r="A63" s="1228" t="s">
        <v>886</v>
      </c>
      <c r="B63" s="1229">
        <v>0</v>
      </c>
      <c r="C63" s="1229">
        <v>0</v>
      </c>
      <c r="D63" s="1230">
        <v>0</v>
      </c>
      <c r="E63" s="1230">
        <v>0</v>
      </c>
      <c r="F63" s="1230">
        <v>0</v>
      </c>
      <c r="G63" s="1230">
        <v>0</v>
      </c>
      <c r="H63" s="1230">
        <f t="shared" si="0"/>
        <v>0</v>
      </c>
      <c r="I63" s="1230">
        <f t="shared" si="1"/>
        <v>0</v>
      </c>
    </row>
    <row r="64" spans="1:9" ht="12.75" hidden="1">
      <c r="A64" s="1231" t="s">
        <v>887</v>
      </c>
      <c r="B64" s="1232">
        <v>0</v>
      </c>
      <c r="C64" s="1232">
        <v>0</v>
      </c>
      <c r="D64" s="1233">
        <v>0</v>
      </c>
      <c r="E64" s="1233">
        <v>0</v>
      </c>
      <c r="F64" s="1233">
        <v>0</v>
      </c>
      <c r="G64" s="1233">
        <v>0</v>
      </c>
      <c r="H64" s="1233">
        <f t="shared" si="0"/>
        <v>0</v>
      </c>
      <c r="I64" s="1233">
        <f t="shared" si="1"/>
        <v>0</v>
      </c>
    </row>
    <row r="65" spans="1:9" ht="12.75">
      <c r="A65" s="1231" t="s">
        <v>888</v>
      </c>
      <c r="B65" s="1232">
        <v>136578990</v>
      </c>
      <c r="C65" s="1232">
        <v>114982607</v>
      </c>
      <c r="D65" s="1233">
        <v>63983</v>
      </c>
      <c r="E65" s="1233">
        <v>513124</v>
      </c>
      <c r="F65" s="1233">
        <v>2628557</v>
      </c>
      <c r="G65" s="1233">
        <v>1765083</v>
      </c>
      <c r="H65" s="1233">
        <f t="shared" si="0"/>
        <v>139271530</v>
      </c>
      <c r="I65" s="1233">
        <f t="shared" si="1"/>
        <v>117260814</v>
      </c>
    </row>
    <row r="66" spans="1:9" ht="38.25" hidden="1">
      <c r="A66" s="1228" t="s">
        <v>889</v>
      </c>
      <c r="B66" s="1229">
        <v>0</v>
      </c>
      <c r="C66" s="1229">
        <v>0</v>
      </c>
      <c r="D66" s="1230">
        <v>0</v>
      </c>
      <c r="E66" s="1230">
        <v>0</v>
      </c>
      <c r="F66" s="1230">
        <v>0</v>
      </c>
      <c r="G66" s="1230">
        <v>0</v>
      </c>
      <c r="H66" s="1230">
        <f t="shared" si="0"/>
        <v>0</v>
      </c>
      <c r="I66" s="1230">
        <f t="shared" si="1"/>
        <v>0</v>
      </c>
    </row>
    <row r="67" spans="1:9" ht="51" hidden="1">
      <c r="A67" s="1228" t="s">
        <v>890</v>
      </c>
      <c r="B67" s="1229">
        <v>0</v>
      </c>
      <c r="C67" s="1229">
        <v>0</v>
      </c>
      <c r="D67" s="1230">
        <v>0</v>
      </c>
      <c r="E67" s="1230">
        <v>0</v>
      </c>
      <c r="F67" s="1230">
        <v>0</v>
      </c>
      <c r="G67" s="1230">
        <v>0</v>
      </c>
      <c r="H67" s="1230">
        <f t="shared" si="0"/>
        <v>0</v>
      </c>
      <c r="I67" s="1230">
        <f t="shared" si="1"/>
        <v>0</v>
      </c>
    </row>
    <row r="68" spans="1:9" ht="38.25" hidden="1">
      <c r="A68" s="1228" t="s">
        <v>891</v>
      </c>
      <c r="B68" s="1229">
        <v>0</v>
      </c>
      <c r="C68" s="1229">
        <v>0</v>
      </c>
      <c r="D68" s="1230">
        <v>0</v>
      </c>
      <c r="E68" s="1230">
        <v>0</v>
      </c>
      <c r="F68" s="1230">
        <v>0</v>
      </c>
      <c r="G68" s="1230">
        <v>0</v>
      </c>
      <c r="H68" s="1230">
        <f t="shared" si="0"/>
        <v>0</v>
      </c>
      <c r="I68" s="1230">
        <f t="shared" si="1"/>
        <v>0</v>
      </c>
    </row>
    <row r="69" spans="1:9" ht="51" hidden="1">
      <c r="A69" s="1228" t="s">
        <v>892</v>
      </c>
      <c r="B69" s="1229">
        <v>0</v>
      </c>
      <c r="C69" s="1229">
        <v>0</v>
      </c>
      <c r="D69" s="1230">
        <v>0</v>
      </c>
      <c r="E69" s="1230">
        <v>0</v>
      </c>
      <c r="F69" s="1230">
        <v>0</v>
      </c>
      <c r="G69" s="1230">
        <v>0</v>
      </c>
      <c r="H69" s="1230">
        <f t="shared" si="0"/>
        <v>0</v>
      </c>
      <c r="I69" s="1230">
        <f t="shared" si="1"/>
        <v>0</v>
      </c>
    </row>
    <row r="70" spans="1:11" ht="38.25">
      <c r="A70" s="1228" t="s">
        <v>893</v>
      </c>
      <c r="B70" s="1229">
        <v>7097123</v>
      </c>
      <c r="C70" s="1229">
        <v>8407482</v>
      </c>
      <c r="D70" s="1230">
        <v>0</v>
      </c>
      <c r="E70" s="1230">
        <v>0</v>
      </c>
      <c r="F70" s="1230">
        <v>0</v>
      </c>
      <c r="G70" s="1230">
        <v>0</v>
      </c>
      <c r="H70" s="1230">
        <f t="shared" si="0"/>
        <v>7097123</v>
      </c>
      <c r="I70" s="1230">
        <f t="shared" si="1"/>
        <v>8407482</v>
      </c>
      <c r="J70" s="1271">
        <f>H70+H76+H74+H79</f>
        <v>7757203</v>
      </c>
      <c r="K70" s="1271">
        <f>I70+I76+I74+I79</f>
        <v>10440177</v>
      </c>
    </row>
    <row r="71" spans="1:9" ht="25.5" hidden="1">
      <c r="A71" s="1228" t="s">
        <v>894</v>
      </c>
      <c r="B71" s="1229">
        <v>0</v>
      </c>
      <c r="C71" s="1229">
        <v>0</v>
      </c>
      <c r="D71" s="1230">
        <v>0</v>
      </c>
      <c r="E71" s="1230">
        <v>0</v>
      </c>
      <c r="F71" s="1230">
        <v>0</v>
      </c>
      <c r="G71" s="1230">
        <v>0</v>
      </c>
      <c r="H71" s="1230">
        <f t="shared" si="0"/>
        <v>0</v>
      </c>
      <c r="I71" s="1230">
        <f t="shared" si="1"/>
        <v>0</v>
      </c>
    </row>
    <row r="72" spans="1:9" ht="38.25" hidden="1">
      <c r="A72" s="1228" t="s">
        <v>895</v>
      </c>
      <c r="B72" s="1229">
        <v>0</v>
      </c>
      <c r="C72" s="1229">
        <v>0</v>
      </c>
      <c r="D72" s="1230">
        <v>0</v>
      </c>
      <c r="E72" s="1230">
        <v>0</v>
      </c>
      <c r="F72" s="1230">
        <v>0</v>
      </c>
      <c r="G72" s="1230">
        <v>0</v>
      </c>
      <c r="H72" s="1230">
        <f t="shared" si="0"/>
        <v>0</v>
      </c>
      <c r="I72" s="1230">
        <f t="shared" si="1"/>
        <v>0</v>
      </c>
    </row>
    <row r="73" spans="1:9" ht="38.25" hidden="1">
      <c r="A73" s="1228" t="s">
        <v>896</v>
      </c>
      <c r="B73" s="1229">
        <v>0</v>
      </c>
      <c r="C73" s="1229">
        <v>0</v>
      </c>
      <c r="D73" s="1230">
        <v>0</v>
      </c>
      <c r="E73" s="1230">
        <v>0</v>
      </c>
      <c r="F73" s="1230">
        <v>0</v>
      </c>
      <c r="G73" s="1230">
        <v>0</v>
      </c>
      <c r="H73" s="1230">
        <f t="shared" si="0"/>
        <v>0</v>
      </c>
      <c r="I73" s="1230">
        <f t="shared" si="1"/>
        <v>0</v>
      </c>
    </row>
    <row r="74" spans="1:9" ht="25.5">
      <c r="A74" s="1228" t="s">
        <v>897</v>
      </c>
      <c r="B74" s="1229">
        <v>359956</v>
      </c>
      <c r="C74" s="1229">
        <v>151699</v>
      </c>
      <c r="D74" s="1230">
        <v>0</v>
      </c>
      <c r="E74" s="1230">
        <v>0</v>
      </c>
      <c r="F74" s="1230">
        <v>0</v>
      </c>
      <c r="G74" s="1230">
        <v>0</v>
      </c>
      <c r="H74" s="1230">
        <f aca="true" t="shared" si="2" ref="H74:H137">B74+D74+F74</f>
        <v>359956</v>
      </c>
      <c r="I74" s="1230">
        <f aca="true" t="shared" si="3" ref="I74:I137">C74+E74+G74</f>
        <v>151699</v>
      </c>
    </row>
    <row r="75" spans="1:9" ht="25.5">
      <c r="A75" s="1228" t="s">
        <v>898</v>
      </c>
      <c r="B75" s="1229">
        <v>6637043</v>
      </c>
      <c r="C75" s="1229">
        <v>6609812</v>
      </c>
      <c r="D75" s="1230">
        <v>0</v>
      </c>
      <c r="E75" s="1230">
        <v>0</v>
      </c>
      <c r="F75" s="1230">
        <v>0</v>
      </c>
      <c r="G75" s="1230">
        <v>0</v>
      </c>
      <c r="H75" s="1230">
        <f t="shared" si="2"/>
        <v>6637043</v>
      </c>
      <c r="I75" s="1230">
        <f t="shared" si="3"/>
        <v>6609812</v>
      </c>
    </row>
    <row r="76" spans="1:9" ht="25.5">
      <c r="A76" s="1228" t="s">
        <v>899</v>
      </c>
      <c r="B76" s="1229">
        <v>100124</v>
      </c>
      <c r="C76" s="1229">
        <v>1645971</v>
      </c>
      <c r="D76" s="1230">
        <v>0</v>
      </c>
      <c r="E76" s="1230">
        <v>0</v>
      </c>
      <c r="F76" s="1230">
        <v>0</v>
      </c>
      <c r="G76" s="1230">
        <v>0</v>
      </c>
      <c r="H76" s="1230">
        <f t="shared" si="2"/>
        <v>100124</v>
      </c>
      <c r="I76" s="1230">
        <f t="shared" si="3"/>
        <v>1645971</v>
      </c>
    </row>
    <row r="77" spans="1:9" ht="38.25">
      <c r="A77" s="1228" t="s">
        <v>900</v>
      </c>
      <c r="B77" s="1229">
        <v>649535</v>
      </c>
      <c r="C77" s="1229">
        <v>676328</v>
      </c>
      <c r="D77" s="1230">
        <v>12785</v>
      </c>
      <c r="E77" s="1230">
        <v>0</v>
      </c>
      <c r="F77" s="1230">
        <v>1545868</v>
      </c>
      <c r="G77" s="1230">
        <v>102970</v>
      </c>
      <c r="H77" s="1230">
        <f t="shared" si="2"/>
        <v>2208188</v>
      </c>
      <c r="I77" s="1230">
        <f t="shared" si="3"/>
        <v>779298</v>
      </c>
    </row>
    <row r="78" spans="1:9" ht="51">
      <c r="A78" s="1228" t="s">
        <v>901</v>
      </c>
      <c r="B78" s="1229">
        <v>343535</v>
      </c>
      <c r="C78" s="1229">
        <v>204276</v>
      </c>
      <c r="D78" s="1230">
        <v>12785</v>
      </c>
      <c r="E78" s="1230">
        <v>0</v>
      </c>
      <c r="F78" s="1230">
        <v>1217219</v>
      </c>
      <c r="G78" s="1230">
        <v>33140</v>
      </c>
      <c r="H78" s="1230">
        <f t="shared" si="2"/>
        <v>1573539</v>
      </c>
      <c r="I78" s="1230">
        <f t="shared" si="3"/>
        <v>237416</v>
      </c>
    </row>
    <row r="79" spans="1:9" ht="25.5">
      <c r="A79" s="1228" t="s">
        <v>902</v>
      </c>
      <c r="B79" s="1229">
        <v>200000</v>
      </c>
      <c r="C79" s="1229">
        <v>183200</v>
      </c>
      <c r="D79" s="1230">
        <v>0</v>
      </c>
      <c r="E79" s="1230">
        <v>0</v>
      </c>
      <c r="F79" s="1230">
        <v>0</v>
      </c>
      <c r="G79" s="1230">
        <v>51825</v>
      </c>
      <c r="H79" s="1230">
        <f t="shared" si="2"/>
        <v>200000</v>
      </c>
      <c r="I79" s="1230">
        <f t="shared" si="3"/>
        <v>235025</v>
      </c>
    </row>
    <row r="80" spans="1:9" ht="25.5">
      <c r="A80" s="1228" t="s">
        <v>903</v>
      </c>
      <c r="B80" s="1229">
        <v>0</v>
      </c>
      <c r="C80" s="1229">
        <v>0</v>
      </c>
      <c r="D80" s="1230">
        <v>0</v>
      </c>
      <c r="E80" s="1230">
        <v>0</v>
      </c>
      <c r="F80" s="1230">
        <v>0</v>
      </c>
      <c r="G80" s="1230">
        <v>18005</v>
      </c>
      <c r="H80" s="1230">
        <f t="shared" si="2"/>
        <v>0</v>
      </c>
      <c r="I80" s="1230">
        <f t="shared" si="3"/>
        <v>18005</v>
      </c>
    </row>
    <row r="81" spans="1:9" ht="38.25">
      <c r="A81" s="1228" t="s">
        <v>904</v>
      </c>
      <c r="B81" s="1229">
        <v>106000</v>
      </c>
      <c r="C81" s="1229">
        <v>54452</v>
      </c>
      <c r="D81" s="1230">
        <v>0</v>
      </c>
      <c r="E81" s="1230">
        <v>0</v>
      </c>
      <c r="F81" s="1230">
        <v>328649</v>
      </c>
      <c r="G81" s="1230">
        <v>0</v>
      </c>
      <c r="H81" s="1230">
        <f t="shared" si="2"/>
        <v>434649</v>
      </c>
      <c r="I81" s="1230">
        <f t="shared" si="3"/>
        <v>54452</v>
      </c>
    </row>
    <row r="82" spans="1:9" ht="38.25" hidden="1">
      <c r="A82" s="1228" t="s">
        <v>905</v>
      </c>
      <c r="B82" s="1229">
        <v>0</v>
      </c>
      <c r="C82" s="1229">
        <v>0</v>
      </c>
      <c r="D82" s="1230">
        <v>0</v>
      </c>
      <c r="E82" s="1230">
        <v>0</v>
      </c>
      <c r="F82" s="1230">
        <v>0</v>
      </c>
      <c r="G82" s="1230">
        <v>0</v>
      </c>
      <c r="H82" s="1230">
        <f t="shared" si="2"/>
        <v>0</v>
      </c>
      <c r="I82" s="1230">
        <f t="shared" si="3"/>
        <v>0</v>
      </c>
    </row>
    <row r="83" spans="1:9" ht="38.25" hidden="1">
      <c r="A83" s="1228" t="s">
        <v>906</v>
      </c>
      <c r="B83" s="1229">
        <v>0</v>
      </c>
      <c r="C83" s="1229">
        <v>0</v>
      </c>
      <c r="D83" s="1230">
        <v>0</v>
      </c>
      <c r="E83" s="1230">
        <v>0</v>
      </c>
      <c r="F83" s="1230">
        <v>0</v>
      </c>
      <c r="G83" s="1230">
        <v>0</v>
      </c>
      <c r="H83" s="1230">
        <f t="shared" si="2"/>
        <v>0</v>
      </c>
      <c r="I83" s="1230">
        <f t="shared" si="3"/>
        <v>0</v>
      </c>
    </row>
    <row r="84" spans="1:9" ht="38.25" hidden="1">
      <c r="A84" s="1228" t="s">
        <v>907</v>
      </c>
      <c r="B84" s="1229">
        <v>0</v>
      </c>
      <c r="C84" s="1229">
        <v>0</v>
      </c>
      <c r="D84" s="1230">
        <v>0</v>
      </c>
      <c r="E84" s="1230">
        <v>0</v>
      </c>
      <c r="F84" s="1230">
        <v>0</v>
      </c>
      <c r="G84" s="1230">
        <v>0</v>
      </c>
      <c r="H84" s="1230">
        <f t="shared" si="2"/>
        <v>0</v>
      </c>
      <c r="I84" s="1230">
        <f t="shared" si="3"/>
        <v>0</v>
      </c>
    </row>
    <row r="85" spans="1:9" ht="25.5" hidden="1">
      <c r="A85" s="1228" t="s">
        <v>908</v>
      </c>
      <c r="B85" s="1229">
        <v>0</v>
      </c>
      <c r="C85" s="1229">
        <v>0</v>
      </c>
      <c r="D85" s="1230">
        <v>0</v>
      </c>
      <c r="E85" s="1230">
        <v>0</v>
      </c>
      <c r="F85" s="1230">
        <v>0</v>
      </c>
      <c r="G85" s="1230">
        <v>0</v>
      </c>
      <c r="H85" s="1230">
        <f t="shared" si="2"/>
        <v>0</v>
      </c>
      <c r="I85" s="1230">
        <f t="shared" si="3"/>
        <v>0</v>
      </c>
    </row>
    <row r="86" spans="1:9" ht="25.5">
      <c r="A86" s="1228" t="s">
        <v>909</v>
      </c>
      <c r="B86" s="1229">
        <v>0</v>
      </c>
      <c r="C86" s="1229">
        <v>234400</v>
      </c>
      <c r="D86" s="1230">
        <v>0</v>
      </c>
      <c r="E86" s="1230">
        <v>0</v>
      </c>
      <c r="F86" s="1230">
        <v>0</v>
      </c>
      <c r="G86" s="1230">
        <v>0</v>
      </c>
      <c r="H86" s="1230">
        <f t="shared" si="2"/>
        <v>0</v>
      </c>
      <c r="I86" s="1230">
        <f t="shared" si="3"/>
        <v>234400</v>
      </c>
    </row>
    <row r="87" spans="1:9" ht="38.25" hidden="1">
      <c r="A87" s="1228" t="s">
        <v>910</v>
      </c>
      <c r="B87" s="1229">
        <v>0</v>
      </c>
      <c r="C87" s="1229">
        <v>0</v>
      </c>
      <c r="D87" s="1230">
        <v>0</v>
      </c>
      <c r="E87" s="1230">
        <v>0</v>
      </c>
      <c r="F87" s="1230">
        <v>0</v>
      </c>
      <c r="G87" s="1230">
        <v>0</v>
      </c>
      <c r="H87" s="1230">
        <f t="shared" si="2"/>
        <v>0</v>
      </c>
      <c r="I87" s="1230">
        <f t="shared" si="3"/>
        <v>0</v>
      </c>
    </row>
    <row r="88" spans="1:9" ht="25.5" hidden="1">
      <c r="A88" s="1228" t="s">
        <v>911</v>
      </c>
      <c r="B88" s="1229">
        <v>0</v>
      </c>
      <c r="C88" s="1229">
        <v>0</v>
      </c>
      <c r="D88" s="1230">
        <v>0</v>
      </c>
      <c r="E88" s="1230">
        <v>0</v>
      </c>
      <c r="F88" s="1230">
        <v>0</v>
      </c>
      <c r="G88" s="1230">
        <v>0</v>
      </c>
      <c r="H88" s="1230">
        <f t="shared" si="2"/>
        <v>0</v>
      </c>
      <c r="I88" s="1230">
        <f t="shared" si="3"/>
        <v>0</v>
      </c>
    </row>
    <row r="89" spans="1:9" ht="25.5" hidden="1">
      <c r="A89" s="1228" t="s">
        <v>912</v>
      </c>
      <c r="B89" s="1229">
        <v>0</v>
      </c>
      <c r="C89" s="1229">
        <v>0</v>
      </c>
      <c r="D89" s="1230">
        <v>0</v>
      </c>
      <c r="E89" s="1230">
        <v>0</v>
      </c>
      <c r="F89" s="1230">
        <v>0</v>
      </c>
      <c r="G89" s="1230">
        <v>0</v>
      </c>
      <c r="H89" s="1230">
        <f t="shared" si="2"/>
        <v>0</v>
      </c>
      <c r="I89" s="1230">
        <f t="shared" si="3"/>
        <v>0</v>
      </c>
    </row>
    <row r="90" spans="1:9" ht="38.25" hidden="1">
      <c r="A90" s="1228" t="s">
        <v>913</v>
      </c>
      <c r="B90" s="1229">
        <v>0</v>
      </c>
      <c r="C90" s="1229">
        <v>0</v>
      </c>
      <c r="D90" s="1230">
        <v>0</v>
      </c>
      <c r="E90" s="1230">
        <v>0</v>
      </c>
      <c r="F90" s="1230">
        <v>0</v>
      </c>
      <c r="G90" s="1230">
        <v>0</v>
      </c>
      <c r="H90" s="1230">
        <f t="shared" si="2"/>
        <v>0</v>
      </c>
      <c r="I90" s="1230">
        <f t="shared" si="3"/>
        <v>0</v>
      </c>
    </row>
    <row r="91" spans="1:9" ht="25.5" hidden="1">
      <c r="A91" s="1228" t="s">
        <v>914</v>
      </c>
      <c r="B91" s="1229">
        <v>0</v>
      </c>
      <c r="C91" s="1229">
        <v>0</v>
      </c>
      <c r="D91" s="1230">
        <v>0</v>
      </c>
      <c r="E91" s="1230">
        <v>0</v>
      </c>
      <c r="F91" s="1230">
        <v>0</v>
      </c>
      <c r="G91" s="1230">
        <v>0</v>
      </c>
      <c r="H91" s="1230">
        <f t="shared" si="2"/>
        <v>0</v>
      </c>
      <c r="I91" s="1230">
        <f t="shared" si="3"/>
        <v>0</v>
      </c>
    </row>
    <row r="92" spans="1:9" ht="38.25" hidden="1">
      <c r="A92" s="1228" t="s">
        <v>915</v>
      </c>
      <c r="B92" s="1229">
        <v>0</v>
      </c>
      <c r="C92" s="1229">
        <v>0</v>
      </c>
      <c r="D92" s="1230">
        <v>0</v>
      </c>
      <c r="E92" s="1230">
        <v>0</v>
      </c>
      <c r="F92" s="1230">
        <v>0</v>
      </c>
      <c r="G92" s="1230">
        <v>0</v>
      </c>
      <c r="H92" s="1230">
        <f t="shared" si="2"/>
        <v>0</v>
      </c>
      <c r="I92" s="1230">
        <f t="shared" si="3"/>
        <v>0</v>
      </c>
    </row>
    <row r="93" spans="1:9" ht="38.25" hidden="1">
      <c r="A93" s="1228" t="s">
        <v>916</v>
      </c>
      <c r="B93" s="1229">
        <v>0</v>
      </c>
      <c r="C93" s="1229">
        <v>0</v>
      </c>
      <c r="D93" s="1230">
        <v>0</v>
      </c>
      <c r="E93" s="1230">
        <v>0</v>
      </c>
      <c r="F93" s="1230">
        <v>0</v>
      </c>
      <c r="G93" s="1230">
        <v>0</v>
      </c>
      <c r="H93" s="1230">
        <f t="shared" si="2"/>
        <v>0</v>
      </c>
      <c r="I93" s="1230">
        <f t="shared" si="3"/>
        <v>0</v>
      </c>
    </row>
    <row r="94" spans="1:9" ht="51" hidden="1">
      <c r="A94" s="1228" t="s">
        <v>917</v>
      </c>
      <c r="B94" s="1229">
        <v>0</v>
      </c>
      <c r="C94" s="1229">
        <v>0</v>
      </c>
      <c r="D94" s="1230">
        <v>0</v>
      </c>
      <c r="E94" s="1230">
        <v>0</v>
      </c>
      <c r="F94" s="1230">
        <v>0</v>
      </c>
      <c r="G94" s="1230">
        <v>0</v>
      </c>
      <c r="H94" s="1230">
        <f t="shared" si="2"/>
        <v>0</v>
      </c>
      <c r="I94" s="1230">
        <f t="shared" si="3"/>
        <v>0</v>
      </c>
    </row>
    <row r="95" spans="1:9" ht="63.75" hidden="1">
      <c r="A95" s="1228" t="s">
        <v>918</v>
      </c>
      <c r="B95" s="1229">
        <v>0</v>
      </c>
      <c r="C95" s="1229">
        <v>0</v>
      </c>
      <c r="D95" s="1230">
        <v>0</v>
      </c>
      <c r="E95" s="1230">
        <v>0</v>
      </c>
      <c r="F95" s="1230">
        <v>0</v>
      </c>
      <c r="G95" s="1230">
        <v>0</v>
      </c>
      <c r="H95" s="1230">
        <f t="shared" si="2"/>
        <v>0</v>
      </c>
      <c r="I95" s="1230">
        <f t="shared" si="3"/>
        <v>0</v>
      </c>
    </row>
    <row r="96" spans="1:9" ht="51" hidden="1">
      <c r="A96" s="1228" t="s">
        <v>919</v>
      </c>
      <c r="B96" s="1229">
        <v>0</v>
      </c>
      <c r="C96" s="1229">
        <v>0</v>
      </c>
      <c r="D96" s="1230">
        <v>0</v>
      </c>
      <c r="E96" s="1230">
        <v>0</v>
      </c>
      <c r="F96" s="1230">
        <v>0</v>
      </c>
      <c r="G96" s="1230">
        <v>0</v>
      </c>
      <c r="H96" s="1230">
        <f t="shared" si="2"/>
        <v>0</v>
      </c>
      <c r="I96" s="1230">
        <f t="shared" si="3"/>
        <v>0</v>
      </c>
    </row>
    <row r="97" spans="1:9" ht="38.25" hidden="1">
      <c r="A97" s="1228" t="s">
        <v>920</v>
      </c>
      <c r="B97" s="1229">
        <v>0</v>
      </c>
      <c r="C97" s="1229">
        <v>0</v>
      </c>
      <c r="D97" s="1230">
        <v>0</v>
      </c>
      <c r="E97" s="1230">
        <v>0</v>
      </c>
      <c r="F97" s="1230">
        <v>0</v>
      </c>
      <c r="G97" s="1230">
        <v>0</v>
      </c>
      <c r="H97" s="1230">
        <f t="shared" si="2"/>
        <v>0</v>
      </c>
      <c r="I97" s="1230">
        <f t="shared" si="3"/>
        <v>0</v>
      </c>
    </row>
    <row r="98" spans="1:9" ht="51" hidden="1">
      <c r="A98" s="1228" t="s">
        <v>921</v>
      </c>
      <c r="B98" s="1229">
        <v>0</v>
      </c>
      <c r="C98" s="1229">
        <v>0</v>
      </c>
      <c r="D98" s="1230">
        <v>0</v>
      </c>
      <c r="E98" s="1230">
        <v>0</v>
      </c>
      <c r="F98" s="1230">
        <v>0</v>
      </c>
      <c r="G98" s="1230">
        <v>0</v>
      </c>
      <c r="H98" s="1230">
        <f t="shared" si="2"/>
        <v>0</v>
      </c>
      <c r="I98" s="1230">
        <f t="shared" si="3"/>
        <v>0</v>
      </c>
    </row>
    <row r="99" spans="1:9" ht="63.75" hidden="1">
      <c r="A99" s="1228" t="s">
        <v>922</v>
      </c>
      <c r="B99" s="1229">
        <v>0</v>
      </c>
      <c r="C99" s="1229">
        <v>0</v>
      </c>
      <c r="D99" s="1230">
        <v>0</v>
      </c>
      <c r="E99" s="1230">
        <v>0</v>
      </c>
      <c r="F99" s="1230">
        <v>0</v>
      </c>
      <c r="G99" s="1230">
        <v>0</v>
      </c>
      <c r="H99" s="1230">
        <f t="shared" si="2"/>
        <v>0</v>
      </c>
      <c r="I99" s="1230">
        <f t="shared" si="3"/>
        <v>0</v>
      </c>
    </row>
    <row r="100" spans="1:9" ht="51" hidden="1">
      <c r="A100" s="1228" t="s">
        <v>923</v>
      </c>
      <c r="B100" s="1229">
        <v>0</v>
      </c>
      <c r="C100" s="1229">
        <v>0</v>
      </c>
      <c r="D100" s="1230">
        <v>0</v>
      </c>
      <c r="E100" s="1230">
        <v>0</v>
      </c>
      <c r="F100" s="1230">
        <v>0</v>
      </c>
      <c r="G100" s="1230">
        <v>0</v>
      </c>
      <c r="H100" s="1230">
        <f t="shared" si="2"/>
        <v>0</v>
      </c>
      <c r="I100" s="1230">
        <f t="shared" si="3"/>
        <v>0</v>
      </c>
    </row>
    <row r="101" spans="1:9" ht="38.25" hidden="1">
      <c r="A101" s="1228" t="s">
        <v>924</v>
      </c>
      <c r="B101" s="1229">
        <v>0</v>
      </c>
      <c r="C101" s="1229">
        <v>0</v>
      </c>
      <c r="D101" s="1230">
        <v>0</v>
      </c>
      <c r="E101" s="1230">
        <v>0</v>
      </c>
      <c r="F101" s="1230">
        <v>0</v>
      </c>
      <c r="G101" s="1230">
        <v>0</v>
      </c>
      <c r="H101" s="1230">
        <f t="shared" si="2"/>
        <v>0</v>
      </c>
      <c r="I101" s="1230">
        <f t="shared" si="3"/>
        <v>0</v>
      </c>
    </row>
    <row r="102" spans="1:9" ht="38.25" hidden="1">
      <c r="A102" s="1228" t="s">
        <v>925</v>
      </c>
      <c r="B102" s="1229">
        <v>0</v>
      </c>
      <c r="C102" s="1229">
        <v>0</v>
      </c>
      <c r="D102" s="1230">
        <v>0</v>
      </c>
      <c r="E102" s="1230">
        <v>0</v>
      </c>
      <c r="F102" s="1230">
        <v>0</v>
      </c>
      <c r="G102" s="1230">
        <v>0</v>
      </c>
      <c r="H102" s="1230">
        <f t="shared" si="2"/>
        <v>0</v>
      </c>
      <c r="I102" s="1230">
        <f t="shared" si="3"/>
        <v>0</v>
      </c>
    </row>
    <row r="103" spans="1:9" ht="38.25" hidden="1">
      <c r="A103" s="1228" t="s">
        <v>926</v>
      </c>
      <c r="B103" s="1229">
        <v>0</v>
      </c>
      <c r="C103" s="1229">
        <v>0</v>
      </c>
      <c r="D103" s="1230">
        <v>0</v>
      </c>
      <c r="E103" s="1230">
        <v>0</v>
      </c>
      <c r="F103" s="1230">
        <v>0</v>
      </c>
      <c r="G103" s="1230">
        <v>0</v>
      </c>
      <c r="H103" s="1230">
        <f t="shared" si="2"/>
        <v>0</v>
      </c>
      <c r="I103" s="1230">
        <f t="shared" si="3"/>
        <v>0</v>
      </c>
    </row>
    <row r="104" spans="1:9" ht="38.25" hidden="1">
      <c r="A104" s="1228" t="s">
        <v>927</v>
      </c>
      <c r="B104" s="1229">
        <v>0</v>
      </c>
      <c r="C104" s="1229">
        <v>0</v>
      </c>
      <c r="D104" s="1230">
        <v>0</v>
      </c>
      <c r="E104" s="1230">
        <v>0</v>
      </c>
      <c r="F104" s="1230">
        <v>0</v>
      </c>
      <c r="G104" s="1230">
        <v>0</v>
      </c>
      <c r="H104" s="1230">
        <f t="shared" si="2"/>
        <v>0</v>
      </c>
      <c r="I104" s="1230">
        <f t="shared" si="3"/>
        <v>0</v>
      </c>
    </row>
    <row r="105" spans="1:9" ht="38.25" hidden="1">
      <c r="A105" s="1228" t="s">
        <v>928</v>
      </c>
      <c r="B105" s="1229">
        <v>0</v>
      </c>
      <c r="C105" s="1229">
        <v>0</v>
      </c>
      <c r="D105" s="1230">
        <v>0</v>
      </c>
      <c r="E105" s="1230">
        <v>0</v>
      </c>
      <c r="F105" s="1230">
        <v>0</v>
      </c>
      <c r="G105" s="1230">
        <v>0</v>
      </c>
      <c r="H105" s="1230">
        <f t="shared" si="2"/>
        <v>0</v>
      </c>
      <c r="I105" s="1230">
        <f t="shared" si="3"/>
        <v>0</v>
      </c>
    </row>
    <row r="106" spans="1:9" ht="38.25" hidden="1">
      <c r="A106" s="1228" t="s">
        <v>929</v>
      </c>
      <c r="B106" s="1229">
        <v>0</v>
      </c>
      <c r="C106" s="1229">
        <v>0</v>
      </c>
      <c r="D106" s="1230">
        <v>0</v>
      </c>
      <c r="E106" s="1230">
        <v>0</v>
      </c>
      <c r="F106" s="1230">
        <v>0</v>
      </c>
      <c r="G106" s="1230">
        <v>0</v>
      </c>
      <c r="H106" s="1230">
        <f t="shared" si="2"/>
        <v>0</v>
      </c>
      <c r="I106" s="1230">
        <f t="shared" si="3"/>
        <v>0</v>
      </c>
    </row>
    <row r="107" spans="1:9" ht="38.25" hidden="1">
      <c r="A107" s="1228" t="s">
        <v>930</v>
      </c>
      <c r="B107" s="1229">
        <v>0</v>
      </c>
      <c r="C107" s="1229">
        <v>0</v>
      </c>
      <c r="D107" s="1230">
        <v>0</v>
      </c>
      <c r="E107" s="1230">
        <v>0</v>
      </c>
      <c r="F107" s="1230">
        <v>0</v>
      </c>
      <c r="G107" s="1230">
        <v>0</v>
      </c>
      <c r="H107" s="1230">
        <f t="shared" si="2"/>
        <v>0</v>
      </c>
      <c r="I107" s="1230">
        <f t="shared" si="3"/>
        <v>0</v>
      </c>
    </row>
    <row r="108" spans="1:9" ht="38.25" hidden="1">
      <c r="A108" s="1228" t="s">
        <v>931</v>
      </c>
      <c r="B108" s="1229">
        <v>0</v>
      </c>
      <c r="C108" s="1229">
        <v>0</v>
      </c>
      <c r="D108" s="1230">
        <v>0</v>
      </c>
      <c r="E108" s="1230">
        <v>0</v>
      </c>
      <c r="F108" s="1230">
        <v>0</v>
      </c>
      <c r="G108" s="1230">
        <v>0</v>
      </c>
      <c r="H108" s="1230">
        <f t="shared" si="2"/>
        <v>0</v>
      </c>
      <c r="I108" s="1230">
        <f t="shared" si="3"/>
        <v>0</v>
      </c>
    </row>
    <row r="109" spans="1:9" ht="25.5">
      <c r="A109" s="1231" t="s">
        <v>932</v>
      </c>
      <c r="B109" s="1232">
        <v>7746658</v>
      </c>
      <c r="C109" s="1232">
        <v>9083810</v>
      </c>
      <c r="D109" s="1233">
        <v>12785</v>
      </c>
      <c r="E109" s="1233">
        <v>0</v>
      </c>
      <c r="F109" s="1233">
        <v>1545868</v>
      </c>
      <c r="G109" s="1233">
        <v>102970</v>
      </c>
      <c r="H109" s="1233">
        <f t="shared" si="2"/>
        <v>9305311</v>
      </c>
      <c r="I109" s="1233">
        <f t="shared" si="3"/>
        <v>9186780</v>
      </c>
    </row>
    <row r="110" spans="1:9" ht="51" hidden="1">
      <c r="A110" s="1228" t="s">
        <v>933</v>
      </c>
      <c r="B110" s="1229">
        <v>0</v>
      </c>
      <c r="C110" s="1229">
        <v>0</v>
      </c>
      <c r="D110" s="1230">
        <v>0</v>
      </c>
      <c r="E110" s="1230">
        <v>0</v>
      </c>
      <c r="F110" s="1230">
        <v>0</v>
      </c>
      <c r="G110" s="1230">
        <v>0</v>
      </c>
      <c r="H110" s="1230">
        <f t="shared" si="2"/>
        <v>0</v>
      </c>
      <c r="I110" s="1230">
        <f t="shared" si="3"/>
        <v>0</v>
      </c>
    </row>
    <row r="111" spans="1:9" ht="51" hidden="1">
      <c r="A111" s="1228" t="s">
        <v>934</v>
      </c>
      <c r="B111" s="1229">
        <v>0</v>
      </c>
      <c r="C111" s="1229">
        <v>0</v>
      </c>
      <c r="D111" s="1230">
        <v>0</v>
      </c>
      <c r="E111" s="1230">
        <v>0</v>
      </c>
      <c r="F111" s="1230">
        <v>0</v>
      </c>
      <c r="G111" s="1230">
        <v>0</v>
      </c>
      <c r="H111" s="1230">
        <f t="shared" si="2"/>
        <v>0</v>
      </c>
      <c r="I111" s="1230">
        <f t="shared" si="3"/>
        <v>0</v>
      </c>
    </row>
    <row r="112" spans="1:9" ht="51" hidden="1">
      <c r="A112" s="1228" t="s">
        <v>935</v>
      </c>
      <c r="B112" s="1229">
        <v>0</v>
      </c>
      <c r="C112" s="1229">
        <v>0</v>
      </c>
      <c r="D112" s="1230">
        <v>0</v>
      </c>
      <c r="E112" s="1230">
        <v>0</v>
      </c>
      <c r="F112" s="1230">
        <v>0</v>
      </c>
      <c r="G112" s="1230">
        <v>0</v>
      </c>
      <c r="H112" s="1230">
        <f t="shared" si="2"/>
        <v>0</v>
      </c>
      <c r="I112" s="1230">
        <f t="shared" si="3"/>
        <v>0</v>
      </c>
    </row>
    <row r="113" spans="1:9" ht="51" hidden="1">
      <c r="A113" s="1228" t="s">
        <v>936</v>
      </c>
      <c r="B113" s="1229">
        <v>0</v>
      </c>
      <c r="C113" s="1229">
        <v>0</v>
      </c>
      <c r="D113" s="1230">
        <v>0</v>
      </c>
      <c r="E113" s="1230">
        <v>0</v>
      </c>
      <c r="F113" s="1230">
        <v>0</v>
      </c>
      <c r="G113" s="1230">
        <v>0</v>
      </c>
      <c r="H113" s="1230">
        <f t="shared" si="2"/>
        <v>0</v>
      </c>
      <c r="I113" s="1230">
        <f t="shared" si="3"/>
        <v>0</v>
      </c>
    </row>
    <row r="114" spans="1:9" ht="38.25" hidden="1">
      <c r="A114" s="1228" t="s">
        <v>937</v>
      </c>
      <c r="B114" s="1229">
        <v>0</v>
      </c>
      <c r="C114" s="1229">
        <v>0</v>
      </c>
      <c r="D114" s="1230">
        <v>0</v>
      </c>
      <c r="E114" s="1230">
        <v>0</v>
      </c>
      <c r="F114" s="1230">
        <v>0</v>
      </c>
      <c r="G114" s="1230">
        <v>0</v>
      </c>
      <c r="H114" s="1230">
        <f t="shared" si="2"/>
        <v>0</v>
      </c>
      <c r="I114" s="1230">
        <f t="shared" si="3"/>
        <v>0</v>
      </c>
    </row>
    <row r="115" spans="1:9" ht="25.5" hidden="1">
      <c r="A115" s="1228" t="s">
        <v>938</v>
      </c>
      <c r="B115" s="1229">
        <v>0</v>
      </c>
      <c r="C115" s="1229">
        <v>0</v>
      </c>
      <c r="D115" s="1230">
        <v>0</v>
      </c>
      <c r="E115" s="1230">
        <v>0</v>
      </c>
      <c r="F115" s="1230">
        <v>0</v>
      </c>
      <c r="G115" s="1230">
        <v>0</v>
      </c>
      <c r="H115" s="1230">
        <f t="shared" si="2"/>
        <v>0</v>
      </c>
      <c r="I115" s="1230">
        <f t="shared" si="3"/>
        <v>0</v>
      </c>
    </row>
    <row r="116" spans="1:9" ht="38.25" hidden="1">
      <c r="A116" s="1228" t="s">
        <v>939</v>
      </c>
      <c r="B116" s="1229">
        <v>0</v>
      </c>
      <c r="C116" s="1229">
        <v>0</v>
      </c>
      <c r="D116" s="1230">
        <v>0</v>
      </c>
      <c r="E116" s="1230">
        <v>0</v>
      </c>
      <c r="F116" s="1230">
        <v>0</v>
      </c>
      <c r="G116" s="1230">
        <v>0</v>
      </c>
      <c r="H116" s="1230">
        <f t="shared" si="2"/>
        <v>0</v>
      </c>
      <c r="I116" s="1230">
        <f t="shared" si="3"/>
        <v>0</v>
      </c>
    </row>
    <row r="117" spans="1:9" ht="38.25" hidden="1">
      <c r="A117" s="1228" t="s">
        <v>940</v>
      </c>
      <c r="B117" s="1229">
        <v>0</v>
      </c>
      <c r="C117" s="1229">
        <v>0</v>
      </c>
      <c r="D117" s="1230">
        <v>0</v>
      </c>
      <c r="E117" s="1230">
        <v>0</v>
      </c>
      <c r="F117" s="1230">
        <v>0</v>
      </c>
      <c r="G117" s="1230">
        <v>0</v>
      </c>
      <c r="H117" s="1230">
        <f t="shared" si="2"/>
        <v>0</v>
      </c>
      <c r="I117" s="1230">
        <f t="shared" si="3"/>
        <v>0</v>
      </c>
    </row>
    <row r="118" spans="1:9" ht="25.5" hidden="1">
      <c r="A118" s="1228" t="s">
        <v>941</v>
      </c>
      <c r="B118" s="1229">
        <v>0</v>
      </c>
      <c r="C118" s="1229">
        <v>0</v>
      </c>
      <c r="D118" s="1230">
        <v>0</v>
      </c>
      <c r="E118" s="1230">
        <v>0</v>
      </c>
      <c r="F118" s="1230">
        <v>0</v>
      </c>
      <c r="G118" s="1230">
        <v>0</v>
      </c>
      <c r="H118" s="1230">
        <f t="shared" si="2"/>
        <v>0</v>
      </c>
      <c r="I118" s="1230">
        <f t="shared" si="3"/>
        <v>0</v>
      </c>
    </row>
    <row r="119" spans="1:9" ht="38.25" hidden="1">
      <c r="A119" s="1228" t="s">
        <v>942</v>
      </c>
      <c r="B119" s="1229">
        <v>0</v>
      </c>
      <c r="C119" s="1229">
        <v>0</v>
      </c>
      <c r="D119" s="1230">
        <v>0</v>
      </c>
      <c r="E119" s="1230">
        <v>0</v>
      </c>
      <c r="F119" s="1230">
        <v>0</v>
      </c>
      <c r="G119" s="1230">
        <v>0</v>
      </c>
      <c r="H119" s="1230">
        <f t="shared" si="2"/>
        <v>0</v>
      </c>
      <c r="I119" s="1230">
        <f t="shared" si="3"/>
        <v>0</v>
      </c>
    </row>
    <row r="120" spans="1:9" ht="38.25" hidden="1">
      <c r="A120" s="1228" t="s">
        <v>943</v>
      </c>
      <c r="B120" s="1229">
        <v>0</v>
      </c>
      <c r="C120" s="1229">
        <v>0</v>
      </c>
      <c r="D120" s="1230">
        <v>0</v>
      </c>
      <c r="E120" s="1230">
        <v>0</v>
      </c>
      <c r="F120" s="1230">
        <v>0</v>
      </c>
      <c r="G120" s="1230">
        <v>0</v>
      </c>
      <c r="H120" s="1230">
        <f t="shared" si="2"/>
        <v>0</v>
      </c>
      <c r="I120" s="1230">
        <f t="shared" si="3"/>
        <v>0</v>
      </c>
    </row>
    <row r="121" spans="1:9" ht="38.25">
      <c r="A121" s="1228" t="s">
        <v>944</v>
      </c>
      <c r="B121" s="1229">
        <v>46990</v>
      </c>
      <c r="C121" s="1229">
        <v>0</v>
      </c>
      <c r="D121" s="1230">
        <v>0</v>
      </c>
      <c r="E121" s="1230">
        <v>0</v>
      </c>
      <c r="F121" s="1230">
        <v>0</v>
      </c>
      <c r="G121" s="1230">
        <v>0</v>
      </c>
      <c r="H121" s="1230">
        <f t="shared" si="2"/>
        <v>46990</v>
      </c>
      <c r="I121" s="1230">
        <f t="shared" si="3"/>
        <v>0</v>
      </c>
    </row>
    <row r="122" spans="1:9" ht="51">
      <c r="A122" s="1228" t="s">
        <v>945</v>
      </c>
      <c r="B122" s="1229">
        <v>37000</v>
      </c>
      <c r="C122" s="1229">
        <v>0</v>
      </c>
      <c r="D122" s="1230">
        <v>0</v>
      </c>
      <c r="E122" s="1230">
        <v>0</v>
      </c>
      <c r="F122" s="1230">
        <v>0</v>
      </c>
      <c r="G122" s="1230">
        <v>0</v>
      </c>
      <c r="H122" s="1230">
        <f t="shared" si="2"/>
        <v>37000</v>
      </c>
      <c r="I122" s="1230">
        <f t="shared" si="3"/>
        <v>0</v>
      </c>
    </row>
    <row r="123" spans="1:9" ht="25.5" hidden="1">
      <c r="A123" s="1228" t="s">
        <v>946</v>
      </c>
      <c r="B123" s="1229">
        <v>0</v>
      </c>
      <c r="C123" s="1229">
        <v>0</v>
      </c>
      <c r="D123" s="1230">
        <v>0</v>
      </c>
      <c r="E123" s="1230">
        <v>0</v>
      </c>
      <c r="F123" s="1230">
        <v>0</v>
      </c>
      <c r="G123" s="1230">
        <v>0</v>
      </c>
      <c r="H123" s="1230">
        <f t="shared" si="2"/>
        <v>0</v>
      </c>
      <c r="I123" s="1230">
        <f t="shared" si="3"/>
        <v>0</v>
      </c>
    </row>
    <row r="124" spans="1:9" ht="25.5" hidden="1">
      <c r="A124" s="1228" t="s">
        <v>947</v>
      </c>
      <c r="B124" s="1229">
        <v>0</v>
      </c>
      <c r="C124" s="1229">
        <v>0</v>
      </c>
      <c r="D124" s="1230">
        <v>0</v>
      </c>
      <c r="E124" s="1230">
        <v>0</v>
      </c>
      <c r="F124" s="1230">
        <v>0</v>
      </c>
      <c r="G124" s="1230">
        <v>0</v>
      </c>
      <c r="H124" s="1230">
        <f t="shared" si="2"/>
        <v>0</v>
      </c>
      <c r="I124" s="1230">
        <f t="shared" si="3"/>
        <v>0</v>
      </c>
    </row>
    <row r="125" spans="1:9" ht="38.25">
      <c r="A125" s="1228" t="s">
        <v>948</v>
      </c>
      <c r="B125" s="1229">
        <v>9990</v>
      </c>
      <c r="C125" s="1229">
        <v>0</v>
      </c>
      <c r="D125" s="1230">
        <v>0</v>
      </c>
      <c r="E125" s="1230">
        <v>0</v>
      </c>
      <c r="F125" s="1230">
        <v>0</v>
      </c>
      <c r="G125" s="1230">
        <v>0</v>
      </c>
      <c r="H125" s="1230">
        <f t="shared" si="2"/>
        <v>9990</v>
      </c>
      <c r="I125" s="1230">
        <f t="shared" si="3"/>
        <v>0</v>
      </c>
    </row>
    <row r="126" spans="1:9" ht="38.25" hidden="1">
      <c r="A126" s="1228" t="s">
        <v>949</v>
      </c>
      <c r="B126" s="1229">
        <v>0</v>
      </c>
      <c r="C126" s="1229">
        <v>0</v>
      </c>
      <c r="D126" s="1230">
        <v>0</v>
      </c>
      <c r="E126" s="1230">
        <v>0</v>
      </c>
      <c r="F126" s="1230">
        <v>0</v>
      </c>
      <c r="G126" s="1230">
        <v>0</v>
      </c>
      <c r="H126" s="1230">
        <f t="shared" si="2"/>
        <v>0</v>
      </c>
      <c r="I126" s="1230">
        <f t="shared" si="3"/>
        <v>0</v>
      </c>
    </row>
    <row r="127" spans="1:9" ht="38.25" hidden="1">
      <c r="A127" s="1228" t="s">
        <v>950</v>
      </c>
      <c r="B127" s="1229">
        <v>0</v>
      </c>
      <c r="C127" s="1229">
        <v>0</v>
      </c>
      <c r="D127" s="1230">
        <v>0</v>
      </c>
      <c r="E127" s="1230">
        <v>0</v>
      </c>
      <c r="F127" s="1230">
        <v>0</v>
      </c>
      <c r="G127" s="1230">
        <v>0</v>
      </c>
      <c r="H127" s="1230">
        <f t="shared" si="2"/>
        <v>0</v>
      </c>
      <c r="I127" s="1230">
        <f t="shared" si="3"/>
        <v>0</v>
      </c>
    </row>
    <row r="128" spans="1:9" ht="38.25" hidden="1">
      <c r="A128" s="1228" t="s">
        <v>951</v>
      </c>
      <c r="B128" s="1229">
        <v>0</v>
      </c>
      <c r="C128" s="1229">
        <v>0</v>
      </c>
      <c r="D128" s="1230">
        <v>0</v>
      </c>
      <c r="E128" s="1230">
        <v>0</v>
      </c>
      <c r="F128" s="1230">
        <v>0</v>
      </c>
      <c r="G128" s="1230">
        <v>0</v>
      </c>
      <c r="H128" s="1230">
        <f t="shared" si="2"/>
        <v>0</v>
      </c>
      <c r="I128" s="1230">
        <f t="shared" si="3"/>
        <v>0</v>
      </c>
    </row>
    <row r="129" spans="1:9" ht="38.25" hidden="1">
      <c r="A129" s="1228" t="s">
        <v>952</v>
      </c>
      <c r="B129" s="1229">
        <v>0</v>
      </c>
      <c r="C129" s="1229">
        <v>0</v>
      </c>
      <c r="D129" s="1230">
        <v>0</v>
      </c>
      <c r="E129" s="1230">
        <v>0</v>
      </c>
      <c r="F129" s="1230">
        <v>0</v>
      </c>
      <c r="G129" s="1230">
        <v>0</v>
      </c>
      <c r="H129" s="1230">
        <f t="shared" si="2"/>
        <v>0</v>
      </c>
      <c r="I129" s="1230">
        <f t="shared" si="3"/>
        <v>0</v>
      </c>
    </row>
    <row r="130" spans="1:9" ht="38.25" hidden="1">
      <c r="A130" s="1228" t="s">
        <v>953</v>
      </c>
      <c r="B130" s="1229">
        <v>0</v>
      </c>
      <c r="C130" s="1229">
        <v>0</v>
      </c>
      <c r="D130" s="1230">
        <v>0</v>
      </c>
      <c r="E130" s="1230">
        <v>0</v>
      </c>
      <c r="F130" s="1230">
        <v>0</v>
      </c>
      <c r="G130" s="1230">
        <v>0</v>
      </c>
      <c r="H130" s="1230">
        <f t="shared" si="2"/>
        <v>0</v>
      </c>
      <c r="I130" s="1230">
        <f t="shared" si="3"/>
        <v>0</v>
      </c>
    </row>
    <row r="131" spans="1:9" ht="38.25" hidden="1">
      <c r="A131" s="1228" t="s">
        <v>954</v>
      </c>
      <c r="B131" s="1229">
        <v>0</v>
      </c>
      <c r="C131" s="1229">
        <v>0</v>
      </c>
      <c r="D131" s="1230">
        <v>0</v>
      </c>
      <c r="E131" s="1230">
        <v>0</v>
      </c>
      <c r="F131" s="1230">
        <v>0</v>
      </c>
      <c r="G131" s="1230">
        <v>0</v>
      </c>
      <c r="H131" s="1230">
        <f t="shared" si="2"/>
        <v>0</v>
      </c>
      <c r="I131" s="1230">
        <f t="shared" si="3"/>
        <v>0</v>
      </c>
    </row>
    <row r="132" spans="1:9" ht="38.25" hidden="1">
      <c r="A132" s="1228" t="s">
        <v>955</v>
      </c>
      <c r="B132" s="1229">
        <v>0</v>
      </c>
      <c r="C132" s="1229">
        <v>0</v>
      </c>
      <c r="D132" s="1230">
        <v>0</v>
      </c>
      <c r="E132" s="1230">
        <v>0</v>
      </c>
      <c r="F132" s="1230">
        <v>0</v>
      </c>
      <c r="G132" s="1230">
        <v>0</v>
      </c>
      <c r="H132" s="1230">
        <f t="shared" si="2"/>
        <v>0</v>
      </c>
      <c r="I132" s="1230">
        <f t="shared" si="3"/>
        <v>0</v>
      </c>
    </row>
    <row r="133" spans="1:9" ht="38.25" hidden="1">
      <c r="A133" s="1228" t="s">
        <v>956</v>
      </c>
      <c r="B133" s="1229">
        <v>0</v>
      </c>
      <c r="C133" s="1229">
        <v>0</v>
      </c>
      <c r="D133" s="1230">
        <v>0</v>
      </c>
      <c r="E133" s="1230">
        <v>0</v>
      </c>
      <c r="F133" s="1230">
        <v>0</v>
      </c>
      <c r="G133" s="1230">
        <v>0</v>
      </c>
      <c r="H133" s="1230">
        <f t="shared" si="2"/>
        <v>0</v>
      </c>
      <c r="I133" s="1230">
        <f t="shared" si="3"/>
        <v>0</v>
      </c>
    </row>
    <row r="134" spans="1:9" ht="38.25" hidden="1">
      <c r="A134" s="1228" t="s">
        <v>957</v>
      </c>
      <c r="B134" s="1229">
        <v>0</v>
      </c>
      <c r="C134" s="1229">
        <v>0</v>
      </c>
      <c r="D134" s="1230">
        <v>0</v>
      </c>
      <c r="E134" s="1230">
        <v>0</v>
      </c>
      <c r="F134" s="1230">
        <v>0</v>
      </c>
      <c r="G134" s="1230">
        <v>0</v>
      </c>
      <c r="H134" s="1230">
        <f t="shared" si="2"/>
        <v>0</v>
      </c>
      <c r="I134" s="1230">
        <f t="shared" si="3"/>
        <v>0</v>
      </c>
    </row>
    <row r="135" spans="1:9" ht="38.25" hidden="1">
      <c r="A135" s="1228" t="s">
        <v>958</v>
      </c>
      <c r="B135" s="1229">
        <v>0</v>
      </c>
      <c r="C135" s="1229">
        <v>0</v>
      </c>
      <c r="D135" s="1230">
        <v>0</v>
      </c>
      <c r="E135" s="1230">
        <v>0</v>
      </c>
      <c r="F135" s="1230">
        <v>0</v>
      </c>
      <c r="G135" s="1230">
        <v>0</v>
      </c>
      <c r="H135" s="1230">
        <f t="shared" si="2"/>
        <v>0</v>
      </c>
      <c r="I135" s="1230">
        <f t="shared" si="3"/>
        <v>0</v>
      </c>
    </row>
    <row r="136" spans="1:9" ht="38.25" hidden="1">
      <c r="A136" s="1228" t="s">
        <v>959</v>
      </c>
      <c r="B136" s="1229">
        <v>0</v>
      </c>
      <c r="C136" s="1229">
        <v>0</v>
      </c>
      <c r="D136" s="1230">
        <v>0</v>
      </c>
      <c r="E136" s="1230">
        <v>0</v>
      </c>
      <c r="F136" s="1230">
        <v>0</v>
      </c>
      <c r="G136" s="1230">
        <v>0</v>
      </c>
      <c r="H136" s="1230">
        <f t="shared" si="2"/>
        <v>0</v>
      </c>
      <c r="I136" s="1230">
        <f t="shared" si="3"/>
        <v>0</v>
      </c>
    </row>
    <row r="137" spans="1:9" ht="38.25" hidden="1">
      <c r="A137" s="1228" t="s">
        <v>960</v>
      </c>
      <c r="B137" s="1229">
        <v>0</v>
      </c>
      <c r="C137" s="1229">
        <v>0</v>
      </c>
      <c r="D137" s="1230">
        <v>0</v>
      </c>
      <c r="E137" s="1230">
        <v>0</v>
      </c>
      <c r="F137" s="1230">
        <v>0</v>
      </c>
      <c r="G137" s="1230">
        <v>0</v>
      </c>
      <c r="H137" s="1230">
        <f t="shared" si="2"/>
        <v>0</v>
      </c>
      <c r="I137" s="1230">
        <f t="shared" si="3"/>
        <v>0</v>
      </c>
    </row>
    <row r="138" spans="1:9" ht="51" hidden="1">
      <c r="A138" s="1228" t="s">
        <v>961</v>
      </c>
      <c r="B138" s="1229">
        <v>0</v>
      </c>
      <c r="C138" s="1229">
        <v>0</v>
      </c>
      <c r="D138" s="1230">
        <v>0</v>
      </c>
      <c r="E138" s="1230">
        <v>0</v>
      </c>
      <c r="F138" s="1230">
        <v>0</v>
      </c>
      <c r="G138" s="1230">
        <v>0</v>
      </c>
      <c r="H138" s="1230">
        <f aca="true" t="shared" si="4" ref="H138:H201">B138+D138+F138</f>
        <v>0</v>
      </c>
      <c r="I138" s="1230">
        <f aca="true" t="shared" si="5" ref="I138:I201">C138+E138+G138</f>
        <v>0</v>
      </c>
    </row>
    <row r="139" spans="1:9" ht="63.75" hidden="1">
      <c r="A139" s="1228" t="s">
        <v>962</v>
      </c>
      <c r="B139" s="1229">
        <v>0</v>
      </c>
      <c r="C139" s="1229">
        <v>0</v>
      </c>
      <c r="D139" s="1230">
        <v>0</v>
      </c>
      <c r="E139" s="1230">
        <v>0</v>
      </c>
      <c r="F139" s="1230">
        <v>0</v>
      </c>
      <c r="G139" s="1230">
        <v>0</v>
      </c>
      <c r="H139" s="1230">
        <f t="shared" si="4"/>
        <v>0</v>
      </c>
      <c r="I139" s="1230">
        <f t="shared" si="5"/>
        <v>0</v>
      </c>
    </row>
    <row r="140" spans="1:9" ht="51" hidden="1">
      <c r="A140" s="1228" t="s">
        <v>963</v>
      </c>
      <c r="B140" s="1229">
        <v>0</v>
      </c>
      <c r="C140" s="1229">
        <v>0</v>
      </c>
      <c r="D140" s="1230">
        <v>0</v>
      </c>
      <c r="E140" s="1230">
        <v>0</v>
      </c>
      <c r="F140" s="1230">
        <v>0</v>
      </c>
      <c r="G140" s="1230">
        <v>0</v>
      </c>
      <c r="H140" s="1230">
        <f t="shared" si="4"/>
        <v>0</v>
      </c>
      <c r="I140" s="1230">
        <f t="shared" si="5"/>
        <v>0</v>
      </c>
    </row>
    <row r="141" spans="1:9" ht="38.25" hidden="1">
      <c r="A141" s="1228" t="s">
        <v>964</v>
      </c>
      <c r="B141" s="1229">
        <v>0</v>
      </c>
      <c r="C141" s="1229">
        <v>0</v>
      </c>
      <c r="D141" s="1230">
        <v>0</v>
      </c>
      <c r="E141" s="1230">
        <v>0</v>
      </c>
      <c r="F141" s="1230">
        <v>0</v>
      </c>
      <c r="G141" s="1230">
        <v>0</v>
      </c>
      <c r="H141" s="1230">
        <f t="shared" si="4"/>
        <v>0</v>
      </c>
      <c r="I141" s="1230">
        <f t="shared" si="5"/>
        <v>0</v>
      </c>
    </row>
    <row r="142" spans="1:9" ht="51" hidden="1">
      <c r="A142" s="1228" t="s">
        <v>965</v>
      </c>
      <c r="B142" s="1229">
        <v>0</v>
      </c>
      <c r="C142" s="1229">
        <v>0</v>
      </c>
      <c r="D142" s="1230">
        <v>0</v>
      </c>
      <c r="E142" s="1230">
        <v>0</v>
      </c>
      <c r="F142" s="1230">
        <v>0</v>
      </c>
      <c r="G142" s="1230">
        <v>0</v>
      </c>
      <c r="H142" s="1230">
        <f t="shared" si="4"/>
        <v>0</v>
      </c>
      <c r="I142" s="1230">
        <f t="shared" si="5"/>
        <v>0</v>
      </c>
    </row>
    <row r="143" spans="1:9" ht="63.75" hidden="1">
      <c r="A143" s="1228" t="s">
        <v>966</v>
      </c>
      <c r="B143" s="1229">
        <v>0</v>
      </c>
      <c r="C143" s="1229">
        <v>0</v>
      </c>
      <c r="D143" s="1230">
        <v>0</v>
      </c>
      <c r="E143" s="1230">
        <v>0</v>
      </c>
      <c r="F143" s="1230">
        <v>0</v>
      </c>
      <c r="G143" s="1230">
        <v>0</v>
      </c>
      <c r="H143" s="1230">
        <f t="shared" si="4"/>
        <v>0</v>
      </c>
      <c r="I143" s="1230">
        <f t="shared" si="5"/>
        <v>0</v>
      </c>
    </row>
    <row r="144" spans="1:9" ht="51" hidden="1">
      <c r="A144" s="1228" t="s">
        <v>967</v>
      </c>
      <c r="B144" s="1229">
        <v>0</v>
      </c>
      <c r="C144" s="1229">
        <v>0</v>
      </c>
      <c r="D144" s="1230">
        <v>0</v>
      </c>
      <c r="E144" s="1230">
        <v>0</v>
      </c>
      <c r="F144" s="1230">
        <v>0</v>
      </c>
      <c r="G144" s="1230">
        <v>0</v>
      </c>
      <c r="H144" s="1230">
        <f t="shared" si="4"/>
        <v>0</v>
      </c>
      <c r="I144" s="1230">
        <f t="shared" si="5"/>
        <v>0</v>
      </c>
    </row>
    <row r="145" spans="1:9" ht="38.25" hidden="1">
      <c r="A145" s="1228" t="s">
        <v>968</v>
      </c>
      <c r="B145" s="1229">
        <v>0</v>
      </c>
      <c r="C145" s="1229">
        <v>0</v>
      </c>
      <c r="D145" s="1230">
        <v>0</v>
      </c>
      <c r="E145" s="1230">
        <v>0</v>
      </c>
      <c r="F145" s="1230">
        <v>0</v>
      </c>
      <c r="G145" s="1230">
        <v>0</v>
      </c>
      <c r="H145" s="1230">
        <f t="shared" si="4"/>
        <v>0</v>
      </c>
      <c r="I145" s="1230">
        <f t="shared" si="5"/>
        <v>0</v>
      </c>
    </row>
    <row r="146" spans="1:9" ht="38.25" hidden="1">
      <c r="A146" s="1228" t="s">
        <v>969</v>
      </c>
      <c r="B146" s="1229">
        <v>0</v>
      </c>
      <c r="C146" s="1229">
        <v>0</v>
      </c>
      <c r="D146" s="1230">
        <v>0</v>
      </c>
      <c r="E146" s="1230">
        <v>0</v>
      </c>
      <c r="F146" s="1230">
        <v>0</v>
      </c>
      <c r="G146" s="1230">
        <v>0</v>
      </c>
      <c r="H146" s="1230">
        <f t="shared" si="4"/>
        <v>0</v>
      </c>
      <c r="I146" s="1230">
        <f t="shared" si="5"/>
        <v>0</v>
      </c>
    </row>
    <row r="147" spans="1:9" ht="38.25" hidden="1">
      <c r="A147" s="1228" t="s">
        <v>970</v>
      </c>
      <c r="B147" s="1229">
        <v>0</v>
      </c>
      <c r="C147" s="1229">
        <v>0</v>
      </c>
      <c r="D147" s="1230">
        <v>0</v>
      </c>
      <c r="E147" s="1230">
        <v>0</v>
      </c>
      <c r="F147" s="1230">
        <v>0</v>
      </c>
      <c r="G147" s="1230">
        <v>0</v>
      </c>
      <c r="H147" s="1230">
        <f t="shared" si="4"/>
        <v>0</v>
      </c>
      <c r="I147" s="1230">
        <f t="shared" si="5"/>
        <v>0</v>
      </c>
    </row>
    <row r="148" spans="1:9" ht="38.25" hidden="1">
      <c r="A148" s="1228" t="s">
        <v>971</v>
      </c>
      <c r="B148" s="1229">
        <v>0</v>
      </c>
      <c r="C148" s="1229">
        <v>0</v>
      </c>
      <c r="D148" s="1230">
        <v>0</v>
      </c>
      <c r="E148" s="1230">
        <v>0</v>
      </c>
      <c r="F148" s="1230">
        <v>0</v>
      </c>
      <c r="G148" s="1230">
        <v>0</v>
      </c>
      <c r="H148" s="1230">
        <f t="shared" si="4"/>
        <v>0</v>
      </c>
      <c r="I148" s="1230">
        <f t="shared" si="5"/>
        <v>0</v>
      </c>
    </row>
    <row r="149" spans="1:9" ht="38.25" hidden="1">
      <c r="A149" s="1228" t="s">
        <v>972</v>
      </c>
      <c r="B149" s="1229">
        <v>0</v>
      </c>
      <c r="C149" s="1229">
        <v>0</v>
      </c>
      <c r="D149" s="1230">
        <v>0</v>
      </c>
      <c r="E149" s="1230">
        <v>0</v>
      </c>
      <c r="F149" s="1230">
        <v>0</v>
      </c>
      <c r="G149" s="1230">
        <v>0</v>
      </c>
      <c r="H149" s="1230">
        <f t="shared" si="4"/>
        <v>0</v>
      </c>
      <c r="I149" s="1230">
        <f t="shared" si="5"/>
        <v>0</v>
      </c>
    </row>
    <row r="150" spans="1:9" ht="25.5">
      <c r="A150" s="1231" t="s">
        <v>973</v>
      </c>
      <c r="B150" s="1232">
        <v>46990</v>
      </c>
      <c r="C150" s="1232">
        <v>0</v>
      </c>
      <c r="D150" s="1233">
        <v>0</v>
      </c>
      <c r="E150" s="1233">
        <v>0</v>
      </c>
      <c r="F150" s="1233">
        <v>0</v>
      </c>
      <c r="G150" s="1233">
        <v>0</v>
      </c>
      <c r="H150" s="1233">
        <f t="shared" si="4"/>
        <v>46990</v>
      </c>
      <c r="I150" s="1233">
        <f t="shared" si="5"/>
        <v>0</v>
      </c>
    </row>
    <row r="151" spans="1:9" ht="12.75">
      <c r="A151" s="1228" t="s">
        <v>974</v>
      </c>
      <c r="B151" s="1229">
        <v>167501</v>
      </c>
      <c r="C151" s="1229">
        <v>377177</v>
      </c>
      <c r="D151" s="1230">
        <v>0</v>
      </c>
      <c r="E151" s="1230">
        <v>564</v>
      </c>
      <c r="F151" s="1230">
        <v>0</v>
      </c>
      <c r="G151" s="1230">
        <v>2222356</v>
      </c>
      <c r="H151" s="1230">
        <f t="shared" si="4"/>
        <v>167501</v>
      </c>
      <c r="I151" s="1230">
        <f t="shared" si="5"/>
        <v>2600097</v>
      </c>
    </row>
    <row r="152" spans="1:9" ht="25.5" hidden="1">
      <c r="A152" s="1228" t="s">
        <v>975</v>
      </c>
      <c r="B152" s="1229">
        <v>0</v>
      </c>
      <c r="C152" s="1229">
        <v>0</v>
      </c>
      <c r="D152" s="1230">
        <v>0</v>
      </c>
      <c r="E152" s="1230">
        <v>0</v>
      </c>
      <c r="F152" s="1230">
        <v>0</v>
      </c>
      <c r="G152" s="1230">
        <v>0</v>
      </c>
      <c r="H152" s="1230">
        <f t="shared" si="4"/>
        <v>0</v>
      </c>
      <c r="I152" s="1230">
        <f t="shared" si="5"/>
        <v>0</v>
      </c>
    </row>
    <row r="153" spans="1:9" ht="25.5" hidden="1">
      <c r="A153" s="1228" t="s">
        <v>976</v>
      </c>
      <c r="B153" s="1229">
        <v>0</v>
      </c>
      <c r="C153" s="1229">
        <v>0</v>
      </c>
      <c r="D153" s="1230">
        <v>0</v>
      </c>
      <c r="E153" s="1230">
        <v>0</v>
      </c>
      <c r="F153" s="1230">
        <v>0</v>
      </c>
      <c r="G153" s="1230">
        <v>0</v>
      </c>
      <c r="H153" s="1230">
        <f t="shared" si="4"/>
        <v>0</v>
      </c>
      <c r="I153" s="1230">
        <f t="shared" si="5"/>
        <v>0</v>
      </c>
    </row>
    <row r="154" spans="1:9" ht="12.75">
      <c r="A154" s="1228" t="s">
        <v>977</v>
      </c>
      <c r="B154" s="1229">
        <v>0</v>
      </c>
      <c r="C154" s="1229">
        <v>0</v>
      </c>
      <c r="D154" s="1230">
        <v>0</v>
      </c>
      <c r="E154" s="1230">
        <v>564</v>
      </c>
      <c r="F154" s="1230">
        <v>0</v>
      </c>
      <c r="G154" s="1230">
        <v>2222356</v>
      </c>
      <c r="H154" s="1230">
        <f t="shared" si="4"/>
        <v>0</v>
      </c>
      <c r="I154" s="1230">
        <f t="shared" si="5"/>
        <v>2222920</v>
      </c>
    </row>
    <row r="155" spans="1:9" ht="25.5">
      <c r="A155" s="1228" t="s">
        <v>978</v>
      </c>
      <c r="B155" s="1229">
        <v>167501</v>
      </c>
      <c r="C155" s="1229">
        <v>377177</v>
      </c>
      <c r="D155" s="1230">
        <v>0</v>
      </c>
      <c r="E155" s="1230">
        <v>0</v>
      </c>
      <c r="F155" s="1230">
        <v>0</v>
      </c>
      <c r="G155" s="1230">
        <v>0</v>
      </c>
      <c r="H155" s="1230">
        <f t="shared" si="4"/>
        <v>167501</v>
      </c>
      <c r="I155" s="1230">
        <f t="shared" si="5"/>
        <v>377177</v>
      </c>
    </row>
    <row r="156" spans="1:9" ht="25.5" hidden="1">
      <c r="A156" s="1228" t="s">
        <v>979</v>
      </c>
      <c r="B156" s="1229">
        <v>0</v>
      </c>
      <c r="C156" s="1229">
        <v>0</v>
      </c>
      <c r="D156" s="1230">
        <v>0</v>
      </c>
      <c r="E156" s="1230">
        <v>0</v>
      </c>
      <c r="F156" s="1230">
        <v>0</v>
      </c>
      <c r="G156" s="1230">
        <v>0</v>
      </c>
      <c r="H156" s="1230">
        <f t="shared" si="4"/>
        <v>0</v>
      </c>
      <c r="I156" s="1230">
        <f t="shared" si="5"/>
        <v>0</v>
      </c>
    </row>
    <row r="157" spans="1:9" ht="25.5" hidden="1">
      <c r="A157" s="1228" t="s">
        <v>980</v>
      </c>
      <c r="B157" s="1229">
        <v>0</v>
      </c>
      <c r="C157" s="1229">
        <v>0</v>
      </c>
      <c r="D157" s="1230">
        <v>0</v>
      </c>
      <c r="E157" s="1230">
        <v>0</v>
      </c>
      <c r="F157" s="1230">
        <v>0</v>
      </c>
      <c r="G157" s="1230">
        <v>0</v>
      </c>
      <c r="H157" s="1230">
        <f t="shared" si="4"/>
        <v>0</v>
      </c>
      <c r="I157" s="1230">
        <f t="shared" si="5"/>
        <v>0</v>
      </c>
    </row>
    <row r="158" spans="1:9" ht="25.5" hidden="1">
      <c r="A158" s="1228" t="s">
        <v>981</v>
      </c>
      <c r="B158" s="1229">
        <v>0</v>
      </c>
      <c r="C158" s="1229">
        <v>0</v>
      </c>
      <c r="D158" s="1230">
        <v>0</v>
      </c>
      <c r="E158" s="1230">
        <v>0</v>
      </c>
      <c r="F158" s="1230">
        <v>0</v>
      </c>
      <c r="G158" s="1230">
        <v>0</v>
      </c>
      <c r="H158" s="1230">
        <f t="shared" si="4"/>
        <v>0</v>
      </c>
      <c r="I158" s="1230">
        <f t="shared" si="5"/>
        <v>0</v>
      </c>
    </row>
    <row r="159" spans="1:9" ht="25.5" hidden="1">
      <c r="A159" s="1228" t="s">
        <v>982</v>
      </c>
      <c r="B159" s="1229">
        <v>0</v>
      </c>
      <c r="C159" s="1229">
        <v>0</v>
      </c>
      <c r="D159" s="1230">
        <v>0</v>
      </c>
      <c r="E159" s="1230">
        <v>0</v>
      </c>
      <c r="F159" s="1230">
        <v>0</v>
      </c>
      <c r="G159" s="1230">
        <v>0</v>
      </c>
      <c r="H159" s="1230">
        <f t="shared" si="4"/>
        <v>0</v>
      </c>
      <c r="I159" s="1230">
        <f t="shared" si="5"/>
        <v>0</v>
      </c>
    </row>
    <row r="160" spans="1:9" ht="12.75">
      <c r="A160" s="1228" t="s">
        <v>983</v>
      </c>
      <c r="B160" s="1229">
        <v>170000</v>
      </c>
      <c r="C160" s="1229">
        <v>170000</v>
      </c>
      <c r="D160" s="1230">
        <v>0</v>
      </c>
      <c r="E160" s="1230">
        <v>0</v>
      </c>
      <c r="F160" s="1230">
        <v>0</v>
      </c>
      <c r="G160" s="1230">
        <v>0</v>
      </c>
      <c r="H160" s="1230">
        <f t="shared" si="4"/>
        <v>170000</v>
      </c>
      <c r="I160" s="1230">
        <f t="shared" si="5"/>
        <v>170000</v>
      </c>
    </row>
    <row r="161" spans="1:9" ht="38.25">
      <c r="A161" s="1228" t="s">
        <v>984</v>
      </c>
      <c r="B161" s="1229">
        <v>0</v>
      </c>
      <c r="C161" s="1229">
        <v>66801174</v>
      </c>
      <c r="D161" s="1230">
        <v>0</v>
      </c>
      <c r="E161" s="1230">
        <v>0</v>
      </c>
      <c r="F161" s="1230">
        <v>0</v>
      </c>
      <c r="G161" s="1230">
        <v>0</v>
      </c>
      <c r="H161" s="1230">
        <f t="shared" si="4"/>
        <v>0</v>
      </c>
      <c r="I161" s="1230">
        <f t="shared" si="5"/>
        <v>66801174</v>
      </c>
    </row>
    <row r="162" spans="1:9" ht="38.25" hidden="1">
      <c r="A162" s="1228" t="s">
        <v>985</v>
      </c>
      <c r="B162" s="1229">
        <v>0</v>
      </c>
      <c r="C162" s="1229">
        <v>0</v>
      </c>
      <c r="D162" s="1230">
        <v>0</v>
      </c>
      <c r="E162" s="1230">
        <v>0</v>
      </c>
      <c r="F162" s="1230">
        <v>0</v>
      </c>
      <c r="G162" s="1230">
        <v>0</v>
      </c>
      <c r="H162" s="1230">
        <f t="shared" si="4"/>
        <v>0</v>
      </c>
      <c r="I162" s="1230">
        <f t="shared" si="5"/>
        <v>0</v>
      </c>
    </row>
    <row r="163" spans="1:9" ht="38.25" hidden="1">
      <c r="A163" s="1228" t="s">
        <v>986</v>
      </c>
      <c r="B163" s="1229">
        <v>0</v>
      </c>
      <c r="C163" s="1229">
        <v>0</v>
      </c>
      <c r="D163" s="1230">
        <v>0</v>
      </c>
      <c r="E163" s="1230">
        <v>0</v>
      </c>
      <c r="F163" s="1230">
        <v>0</v>
      </c>
      <c r="G163" s="1230">
        <v>0</v>
      </c>
      <c r="H163" s="1230">
        <f t="shared" si="4"/>
        <v>0</v>
      </c>
      <c r="I163" s="1230">
        <f t="shared" si="5"/>
        <v>0</v>
      </c>
    </row>
    <row r="164" spans="1:9" ht="25.5" hidden="1">
      <c r="A164" s="1228" t="s">
        <v>987</v>
      </c>
      <c r="B164" s="1229">
        <v>0</v>
      </c>
      <c r="C164" s="1229">
        <v>0</v>
      </c>
      <c r="D164" s="1230">
        <v>0</v>
      </c>
      <c r="E164" s="1230">
        <v>0</v>
      </c>
      <c r="F164" s="1230">
        <v>0</v>
      </c>
      <c r="G164" s="1230">
        <v>0</v>
      </c>
      <c r="H164" s="1230">
        <f t="shared" si="4"/>
        <v>0</v>
      </c>
      <c r="I164" s="1230">
        <f t="shared" si="5"/>
        <v>0</v>
      </c>
    </row>
    <row r="165" spans="1:9" ht="25.5" hidden="1">
      <c r="A165" s="1228" t="s">
        <v>988</v>
      </c>
      <c r="B165" s="1229">
        <v>0</v>
      </c>
      <c r="C165" s="1229">
        <v>0</v>
      </c>
      <c r="D165" s="1230">
        <v>0</v>
      </c>
      <c r="E165" s="1230">
        <v>0</v>
      </c>
      <c r="F165" s="1230">
        <v>0</v>
      </c>
      <c r="G165" s="1230">
        <v>0</v>
      </c>
      <c r="H165" s="1230">
        <f t="shared" si="4"/>
        <v>0</v>
      </c>
      <c r="I165" s="1230">
        <f t="shared" si="5"/>
        <v>0</v>
      </c>
    </row>
    <row r="166" spans="1:9" ht="25.5">
      <c r="A166" s="1231" t="s">
        <v>989</v>
      </c>
      <c r="B166" s="1232">
        <v>337501</v>
      </c>
      <c r="C166" s="1232">
        <v>67348351</v>
      </c>
      <c r="D166" s="1233">
        <v>0</v>
      </c>
      <c r="E166" s="1233">
        <v>564</v>
      </c>
      <c r="F166" s="1233">
        <v>0</v>
      </c>
      <c r="G166" s="1233">
        <v>2222356</v>
      </c>
      <c r="H166" s="1233">
        <f t="shared" si="4"/>
        <v>337501</v>
      </c>
      <c r="I166" s="1233">
        <f t="shared" si="5"/>
        <v>69571271</v>
      </c>
    </row>
    <row r="167" spans="1:9" ht="12.75">
      <c r="A167" s="1231" t="s">
        <v>990</v>
      </c>
      <c r="B167" s="1232">
        <v>8131149</v>
      </c>
      <c r="C167" s="1232">
        <v>76432161</v>
      </c>
      <c r="D167" s="1233">
        <v>12785</v>
      </c>
      <c r="E167" s="1233">
        <v>564</v>
      </c>
      <c r="F167" s="1233">
        <v>1545868</v>
      </c>
      <c r="G167" s="1233">
        <v>2325326</v>
      </c>
      <c r="H167" s="1233">
        <f t="shared" si="4"/>
        <v>9689802</v>
      </c>
      <c r="I167" s="1233">
        <f t="shared" si="5"/>
        <v>78758051</v>
      </c>
    </row>
    <row r="168" spans="1:9" ht="25.5" hidden="1">
      <c r="A168" s="1228" t="s">
        <v>991</v>
      </c>
      <c r="B168" s="1229">
        <v>0</v>
      </c>
      <c r="C168" s="1229">
        <v>0</v>
      </c>
      <c r="D168" s="1230">
        <v>0</v>
      </c>
      <c r="E168" s="1230">
        <v>0</v>
      </c>
      <c r="F168" s="1230">
        <v>0</v>
      </c>
      <c r="G168" s="1230">
        <v>0</v>
      </c>
      <c r="H168" s="1230">
        <f t="shared" si="4"/>
        <v>0</v>
      </c>
      <c r="I168" s="1230">
        <f t="shared" si="5"/>
        <v>0</v>
      </c>
    </row>
    <row r="169" spans="1:9" ht="25.5" hidden="1">
      <c r="A169" s="1228" t="s">
        <v>992</v>
      </c>
      <c r="B169" s="1229">
        <v>0</v>
      </c>
      <c r="C169" s="1229">
        <v>0</v>
      </c>
      <c r="D169" s="1230">
        <v>0</v>
      </c>
      <c r="E169" s="1230">
        <v>0</v>
      </c>
      <c r="F169" s="1230">
        <v>0</v>
      </c>
      <c r="G169" s="1230">
        <v>0</v>
      </c>
      <c r="H169" s="1230">
        <f t="shared" si="4"/>
        <v>0</v>
      </c>
      <c r="I169" s="1230">
        <f t="shared" si="5"/>
        <v>0</v>
      </c>
    </row>
    <row r="170" spans="1:9" ht="38.25" hidden="1">
      <c r="A170" s="1228" t="s">
        <v>993</v>
      </c>
      <c r="B170" s="1229">
        <v>0</v>
      </c>
      <c r="C170" s="1229">
        <v>0</v>
      </c>
      <c r="D170" s="1230">
        <v>0</v>
      </c>
      <c r="E170" s="1230">
        <v>0</v>
      </c>
      <c r="F170" s="1230">
        <v>0</v>
      </c>
      <c r="G170" s="1230">
        <v>0</v>
      </c>
      <c r="H170" s="1230">
        <f t="shared" si="4"/>
        <v>0</v>
      </c>
      <c r="I170" s="1230">
        <f t="shared" si="5"/>
        <v>0</v>
      </c>
    </row>
    <row r="171" spans="1:9" ht="25.5" hidden="1">
      <c r="A171" s="1228" t="s">
        <v>994</v>
      </c>
      <c r="B171" s="1229">
        <v>0</v>
      </c>
      <c r="C171" s="1229">
        <v>0</v>
      </c>
      <c r="D171" s="1230">
        <v>0</v>
      </c>
      <c r="E171" s="1230">
        <v>0</v>
      </c>
      <c r="F171" s="1230">
        <v>0</v>
      </c>
      <c r="G171" s="1230">
        <v>0</v>
      </c>
      <c r="H171" s="1230">
        <f t="shared" si="4"/>
        <v>0</v>
      </c>
      <c r="I171" s="1230">
        <f t="shared" si="5"/>
        <v>0</v>
      </c>
    </row>
    <row r="172" spans="1:9" ht="25.5" hidden="1">
      <c r="A172" s="1231" t="s">
        <v>995</v>
      </c>
      <c r="B172" s="1232">
        <v>0</v>
      </c>
      <c r="C172" s="1232">
        <v>0</v>
      </c>
      <c r="D172" s="1233">
        <v>0</v>
      </c>
      <c r="E172" s="1233">
        <v>0</v>
      </c>
      <c r="F172" s="1233">
        <v>0</v>
      </c>
      <c r="G172" s="1233">
        <v>0</v>
      </c>
      <c r="H172" s="1233">
        <f t="shared" si="4"/>
        <v>0</v>
      </c>
      <c r="I172" s="1233">
        <f t="shared" si="5"/>
        <v>0</v>
      </c>
    </row>
    <row r="173" spans="1:9" ht="25.5" hidden="1">
      <c r="A173" s="1228" t="s">
        <v>996</v>
      </c>
      <c r="B173" s="1229">
        <v>0</v>
      </c>
      <c r="C173" s="1229">
        <v>0</v>
      </c>
      <c r="D173" s="1230">
        <v>0</v>
      </c>
      <c r="E173" s="1230">
        <v>0</v>
      </c>
      <c r="F173" s="1230">
        <v>0</v>
      </c>
      <c r="G173" s="1230">
        <v>0</v>
      </c>
      <c r="H173" s="1230">
        <f t="shared" si="4"/>
        <v>0</v>
      </c>
      <c r="I173" s="1230">
        <f t="shared" si="5"/>
        <v>0</v>
      </c>
    </row>
    <row r="174" spans="1:9" ht="12.75" hidden="1">
      <c r="A174" s="1228" t="s">
        <v>997</v>
      </c>
      <c r="B174" s="1229">
        <v>0</v>
      </c>
      <c r="C174" s="1229">
        <v>0</v>
      </c>
      <c r="D174" s="1230">
        <v>0</v>
      </c>
      <c r="E174" s="1230">
        <v>0</v>
      </c>
      <c r="F174" s="1230">
        <v>0</v>
      </c>
      <c r="G174" s="1230">
        <v>0</v>
      </c>
      <c r="H174" s="1230">
        <f t="shared" si="4"/>
        <v>0</v>
      </c>
      <c r="I174" s="1230">
        <f t="shared" si="5"/>
        <v>0</v>
      </c>
    </row>
    <row r="175" spans="1:9" ht="25.5" hidden="1">
      <c r="A175" s="1231" t="s">
        <v>998</v>
      </c>
      <c r="B175" s="1232">
        <v>0</v>
      </c>
      <c r="C175" s="1232">
        <v>0</v>
      </c>
      <c r="D175" s="1233">
        <v>0</v>
      </c>
      <c r="E175" s="1233">
        <v>0</v>
      </c>
      <c r="F175" s="1233">
        <v>0</v>
      </c>
      <c r="G175" s="1233">
        <v>0</v>
      </c>
      <c r="H175" s="1233">
        <f t="shared" si="4"/>
        <v>0</v>
      </c>
      <c r="I175" s="1233">
        <f t="shared" si="5"/>
        <v>0</v>
      </c>
    </row>
    <row r="176" spans="1:9" ht="25.5">
      <c r="A176" s="1228" t="s">
        <v>999</v>
      </c>
      <c r="B176" s="1229">
        <v>1258756</v>
      </c>
      <c r="C176" s="1229">
        <v>0</v>
      </c>
      <c r="D176" s="1230">
        <v>0</v>
      </c>
      <c r="E176" s="1230">
        <v>0</v>
      </c>
      <c r="F176" s="1230">
        <v>410187</v>
      </c>
      <c r="G176" s="1230">
        <v>0</v>
      </c>
      <c r="H176" s="1230">
        <f t="shared" si="4"/>
        <v>1668943</v>
      </c>
      <c r="I176" s="1230">
        <f t="shared" si="5"/>
        <v>0</v>
      </c>
    </row>
    <row r="177" spans="1:9" ht="38.25" hidden="1">
      <c r="A177" s="1228" t="s">
        <v>1000</v>
      </c>
      <c r="B177" s="1229">
        <v>0</v>
      </c>
      <c r="C177" s="1229">
        <v>0</v>
      </c>
      <c r="D177" s="1230">
        <v>0</v>
      </c>
      <c r="E177" s="1230">
        <v>0</v>
      </c>
      <c r="F177" s="1230">
        <v>0</v>
      </c>
      <c r="G177" s="1230">
        <v>0</v>
      </c>
      <c r="H177" s="1230">
        <f t="shared" si="4"/>
        <v>0</v>
      </c>
      <c r="I177" s="1230">
        <f t="shared" si="5"/>
        <v>0</v>
      </c>
    </row>
    <row r="178" spans="1:9" ht="25.5">
      <c r="A178" s="1231" t="s">
        <v>1001</v>
      </c>
      <c r="B178" s="1232">
        <v>1258756</v>
      </c>
      <c r="C178" s="1232">
        <v>0</v>
      </c>
      <c r="D178" s="1233">
        <v>0</v>
      </c>
      <c r="E178" s="1233">
        <v>0</v>
      </c>
      <c r="F178" s="1233">
        <v>410187</v>
      </c>
      <c r="G178" s="1233">
        <v>0</v>
      </c>
      <c r="H178" s="1233">
        <f t="shared" si="4"/>
        <v>1668943</v>
      </c>
      <c r="I178" s="1233">
        <f t="shared" si="5"/>
        <v>0</v>
      </c>
    </row>
    <row r="179" spans="1:9" ht="25.5">
      <c r="A179" s="1231" t="s">
        <v>1002</v>
      </c>
      <c r="B179" s="1232">
        <v>1258756</v>
      </c>
      <c r="C179" s="1232">
        <v>0</v>
      </c>
      <c r="D179" s="1233">
        <v>0</v>
      </c>
      <c r="E179" s="1233">
        <v>0</v>
      </c>
      <c r="F179" s="1233">
        <v>410187</v>
      </c>
      <c r="G179" s="1233">
        <v>0</v>
      </c>
      <c r="H179" s="1233">
        <f t="shared" si="4"/>
        <v>1668943</v>
      </c>
      <c r="I179" s="1233">
        <f t="shared" si="5"/>
        <v>0</v>
      </c>
    </row>
    <row r="180" spans="1:9" ht="25.5" hidden="1">
      <c r="A180" s="1228" t="s">
        <v>1003</v>
      </c>
      <c r="B180" s="1229">
        <v>0</v>
      </c>
      <c r="C180" s="1229">
        <v>0</v>
      </c>
      <c r="D180" s="1230">
        <v>0</v>
      </c>
      <c r="E180" s="1230">
        <v>0</v>
      </c>
      <c r="F180" s="1230">
        <v>0</v>
      </c>
      <c r="G180" s="1230">
        <v>0</v>
      </c>
      <c r="H180" s="1230">
        <f t="shared" si="4"/>
        <v>0</v>
      </c>
      <c r="I180" s="1230">
        <f t="shared" si="5"/>
        <v>0</v>
      </c>
    </row>
    <row r="181" spans="1:9" ht="25.5" hidden="1">
      <c r="A181" s="1228" t="s">
        <v>1004</v>
      </c>
      <c r="B181" s="1229">
        <v>0</v>
      </c>
      <c r="C181" s="1229">
        <v>0</v>
      </c>
      <c r="D181" s="1230">
        <v>0</v>
      </c>
      <c r="E181" s="1230">
        <v>0</v>
      </c>
      <c r="F181" s="1230">
        <v>0</v>
      </c>
      <c r="G181" s="1230">
        <v>0</v>
      </c>
      <c r="H181" s="1230">
        <f t="shared" si="4"/>
        <v>0</v>
      </c>
      <c r="I181" s="1230">
        <f t="shared" si="5"/>
        <v>0</v>
      </c>
    </row>
    <row r="182" spans="1:9" ht="12.75" hidden="1">
      <c r="A182" s="1228" t="s">
        <v>1005</v>
      </c>
      <c r="B182" s="1229">
        <v>0</v>
      </c>
      <c r="C182" s="1229">
        <v>0</v>
      </c>
      <c r="D182" s="1230">
        <v>0</v>
      </c>
      <c r="E182" s="1230">
        <v>0</v>
      </c>
      <c r="F182" s="1230">
        <v>0</v>
      </c>
      <c r="G182" s="1230">
        <v>0</v>
      </c>
      <c r="H182" s="1230">
        <f t="shared" si="4"/>
        <v>0</v>
      </c>
      <c r="I182" s="1230">
        <f t="shared" si="5"/>
        <v>0</v>
      </c>
    </row>
    <row r="183" spans="1:9" ht="25.5" hidden="1">
      <c r="A183" s="1231" t="s">
        <v>1006</v>
      </c>
      <c r="B183" s="1232">
        <v>0</v>
      </c>
      <c r="C183" s="1232">
        <v>0</v>
      </c>
      <c r="D183" s="1233">
        <v>0</v>
      </c>
      <c r="E183" s="1233">
        <v>0</v>
      </c>
      <c r="F183" s="1233">
        <v>0</v>
      </c>
      <c r="G183" s="1233">
        <v>0</v>
      </c>
      <c r="H183" s="1233">
        <f t="shared" si="4"/>
        <v>0</v>
      </c>
      <c r="I183" s="1233">
        <f t="shared" si="5"/>
        <v>0</v>
      </c>
    </row>
    <row r="184" spans="1:9" ht="12.75">
      <c r="A184" s="1231" t="s">
        <v>1007</v>
      </c>
      <c r="B184" s="1232">
        <v>1268232868</v>
      </c>
      <c r="C184" s="1232">
        <v>1324854069</v>
      </c>
      <c r="D184" s="1233">
        <v>569831</v>
      </c>
      <c r="E184" s="1233">
        <v>1041722</v>
      </c>
      <c r="F184" s="1233">
        <v>7117873</v>
      </c>
      <c r="G184" s="1233">
        <v>6054106</v>
      </c>
      <c r="H184" s="1233">
        <f t="shared" si="4"/>
        <v>1275920572</v>
      </c>
      <c r="I184" s="1233">
        <f t="shared" si="5"/>
        <v>1331949897</v>
      </c>
    </row>
    <row r="185" spans="1:9" ht="12.75">
      <c r="A185" s="1228" t="s">
        <v>1008</v>
      </c>
      <c r="B185" s="1229">
        <v>605374421</v>
      </c>
      <c r="C185" s="1229">
        <v>605374421</v>
      </c>
      <c r="D185" s="1230">
        <v>2204204</v>
      </c>
      <c r="E185" s="1230">
        <v>2204204</v>
      </c>
      <c r="F185" s="1230">
        <v>0</v>
      </c>
      <c r="G185" s="1230">
        <v>0</v>
      </c>
      <c r="H185" s="1230">
        <f t="shared" si="4"/>
        <v>607578625</v>
      </c>
      <c r="I185" s="1230">
        <f t="shared" si="5"/>
        <v>607578625</v>
      </c>
    </row>
    <row r="186" spans="1:9" ht="12.75">
      <c r="A186" s="1228" t="s">
        <v>1009</v>
      </c>
      <c r="B186" s="1229">
        <v>0</v>
      </c>
      <c r="C186" s="1229">
        <v>66801174</v>
      </c>
      <c r="D186" s="1230">
        <v>0</v>
      </c>
      <c r="E186" s="1230">
        <v>0</v>
      </c>
      <c r="F186" s="1230">
        <v>0</v>
      </c>
      <c r="G186" s="1230">
        <v>0</v>
      </c>
      <c r="H186" s="1230">
        <f t="shared" si="4"/>
        <v>0</v>
      </c>
      <c r="I186" s="1230">
        <f t="shared" si="5"/>
        <v>66801174</v>
      </c>
    </row>
    <row r="187" spans="1:9" ht="25.5" hidden="1">
      <c r="A187" s="1228" t="s">
        <v>1010</v>
      </c>
      <c r="B187" s="1229">
        <v>0</v>
      </c>
      <c r="C187" s="1229">
        <v>0</v>
      </c>
      <c r="D187" s="1230">
        <v>0</v>
      </c>
      <c r="E187" s="1230">
        <v>0</v>
      </c>
      <c r="F187" s="1230">
        <v>0</v>
      </c>
      <c r="G187" s="1230">
        <v>0</v>
      </c>
      <c r="H187" s="1230">
        <f t="shared" si="4"/>
        <v>0</v>
      </c>
      <c r="I187" s="1230">
        <f t="shared" si="5"/>
        <v>0</v>
      </c>
    </row>
    <row r="188" spans="1:9" ht="38.25" hidden="1">
      <c r="A188" s="1228" t="s">
        <v>1011</v>
      </c>
      <c r="B188" s="1229">
        <v>0</v>
      </c>
      <c r="C188" s="1229">
        <v>0</v>
      </c>
      <c r="D188" s="1230">
        <v>0</v>
      </c>
      <c r="E188" s="1230">
        <v>0</v>
      </c>
      <c r="F188" s="1230">
        <v>0</v>
      </c>
      <c r="G188" s="1230">
        <v>0</v>
      </c>
      <c r="H188" s="1230">
        <f t="shared" si="4"/>
        <v>0</v>
      </c>
      <c r="I188" s="1230">
        <f t="shared" si="5"/>
        <v>0</v>
      </c>
    </row>
    <row r="189" spans="1:9" ht="25.5">
      <c r="A189" s="1228" t="s">
        <v>1012</v>
      </c>
      <c r="B189" s="1229">
        <v>81973873</v>
      </c>
      <c r="C189" s="1229">
        <v>81973873</v>
      </c>
      <c r="D189" s="1230">
        <v>14503886</v>
      </c>
      <c r="E189" s="1230">
        <v>14503886</v>
      </c>
      <c r="F189" s="1230">
        <v>17445000</v>
      </c>
      <c r="G189" s="1230">
        <v>17445000</v>
      </c>
      <c r="H189" s="1230">
        <f t="shared" si="4"/>
        <v>113922759</v>
      </c>
      <c r="I189" s="1230">
        <f t="shared" si="5"/>
        <v>113922759</v>
      </c>
    </row>
    <row r="190" spans="1:9" ht="25.5">
      <c r="A190" s="1231" t="s">
        <v>1013</v>
      </c>
      <c r="B190" s="1232">
        <v>81973873</v>
      </c>
      <c r="C190" s="1232">
        <v>81973873</v>
      </c>
      <c r="D190" s="1233">
        <v>14503886</v>
      </c>
      <c r="E190" s="1233">
        <v>14503886</v>
      </c>
      <c r="F190" s="1233">
        <v>17445000</v>
      </c>
      <c r="G190" s="1233">
        <v>17445000</v>
      </c>
      <c r="H190" s="1233">
        <f t="shared" si="4"/>
        <v>113922759</v>
      </c>
      <c r="I190" s="1233">
        <f t="shared" si="5"/>
        <v>113922759</v>
      </c>
    </row>
    <row r="191" spans="1:9" ht="12.75">
      <c r="A191" s="1228" t="s">
        <v>1014</v>
      </c>
      <c r="B191" s="1229">
        <v>438602683</v>
      </c>
      <c r="C191" s="1229">
        <v>568983500</v>
      </c>
      <c r="D191" s="1230">
        <v>-14830356</v>
      </c>
      <c r="E191" s="1230">
        <v>-16138259</v>
      </c>
      <c r="F191" s="1230">
        <v>-3646206</v>
      </c>
      <c r="G191" s="1230">
        <v>-10327127</v>
      </c>
      <c r="H191" s="1230">
        <f t="shared" si="4"/>
        <v>420126121</v>
      </c>
      <c r="I191" s="1230">
        <f t="shared" si="5"/>
        <v>542518114</v>
      </c>
    </row>
    <row r="192" spans="1:9" ht="12.75">
      <c r="A192" s="1228" t="s">
        <v>1015</v>
      </c>
      <c r="B192" s="1229">
        <v>0</v>
      </c>
      <c r="C192" s="1229">
        <v>0</v>
      </c>
      <c r="D192" s="1230">
        <v>0</v>
      </c>
      <c r="E192" s="1230">
        <v>0</v>
      </c>
      <c r="F192" s="1230">
        <v>0</v>
      </c>
      <c r="G192" s="1230">
        <v>0</v>
      </c>
      <c r="H192" s="1230">
        <f t="shared" si="4"/>
        <v>0</v>
      </c>
      <c r="I192" s="1230">
        <f t="shared" si="5"/>
        <v>0</v>
      </c>
    </row>
    <row r="193" spans="1:9" ht="12.75">
      <c r="A193" s="1228" t="s">
        <v>1016</v>
      </c>
      <c r="B193" s="1229">
        <v>130380817</v>
      </c>
      <c r="C193" s="1229">
        <v>-19075170</v>
      </c>
      <c r="D193" s="1230">
        <v>-1307903</v>
      </c>
      <c r="E193" s="1230">
        <v>-4585852</v>
      </c>
      <c r="F193" s="1230">
        <v>-6680921</v>
      </c>
      <c r="G193" s="1230">
        <v>-7053340</v>
      </c>
      <c r="H193" s="1230">
        <f t="shared" si="4"/>
        <v>122391993</v>
      </c>
      <c r="I193" s="1230">
        <f t="shared" si="5"/>
        <v>-30714362</v>
      </c>
    </row>
    <row r="194" spans="1:9" ht="12.75">
      <c r="A194" s="1231" t="s">
        <v>1017</v>
      </c>
      <c r="B194" s="1232">
        <v>1256331794</v>
      </c>
      <c r="C194" s="1232">
        <v>1304057798</v>
      </c>
      <c r="D194" s="1233">
        <v>569831</v>
      </c>
      <c r="E194" s="1233">
        <v>-4016021</v>
      </c>
      <c r="F194" s="1233">
        <v>7117873</v>
      </c>
      <c r="G194" s="1233">
        <v>64533</v>
      </c>
      <c r="H194" s="1233">
        <f t="shared" si="4"/>
        <v>1264019498</v>
      </c>
      <c r="I194" s="1233">
        <f t="shared" si="5"/>
        <v>1300106310</v>
      </c>
    </row>
    <row r="195" spans="1:9" ht="25.5" hidden="1">
      <c r="A195" s="1228" t="s">
        <v>1018</v>
      </c>
      <c r="B195" s="1229">
        <v>0</v>
      </c>
      <c r="C195" s="1229">
        <v>0</v>
      </c>
      <c r="D195" s="1230">
        <v>0</v>
      </c>
      <c r="E195" s="1230">
        <v>0</v>
      </c>
      <c r="F195" s="1230">
        <v>0</v>
      </c>
      <c r="G195" s="1230">
        <v>0</v>
      </c>
      <c r="H195" s="1230">
        <f t="shared" si="4"/>
        <v>0</v>
      </c>
      <c r="I195" s="1230">
        <f t="shared" si="5"/>
        <v>0</v>
      </c>
    </row>
    <row r="196" spans="1:9" ht="38.25" hidden="1">
      <c r="A196" s="1228" t="s">
        <v>1019</v>
      </c>
      <c r="B196" s="1229">
        <v>0</v>
      </c>
      <c r="C196" s="1229">
        <v>0</v>
      </c>
      <c r="D196" s="1230">
        <v>0</v>
      </c>
      <c r="E196" s="1230">
        <v>0</v>
      </c>
      <c r="F196" s="1230">
        <v>0</v>
      </c>
      <c r="G196" s="1230">
        <v>0</v>
      </c>
      <c r="H196" s="1230">
        <f t="shared" si="4"/>
        <v>0</v>
      </c>
      <c r="I196" s="1230">
        <f t="shared" si="5"/>
        <v>0</v>
      </c>
    </row>
    <row r="197" spans="1:9" ht="25.5">
      <c r="A197" s="1228" t="s">
        <v>1020</v>
      </c>
      <c r="B197" s="1229">
        <v>0</v>
      </c>
      <c r="C197" s="1229">
        <v>419227</v>
      </c>
      <c r="D197" s="1230">
        <v>0</v>
      </c>
      <c r="E197" s="1230">
        <v>0</v>
      </c>
      <c r="F197" s="1230">
        <v>0</v>
      </c>
      <c r="G197" s="1230">
        <v>0</v>
      </c>
      <c r="H197" s="1230">
        <f t="shared" si="4"/>
        <v>0</v>
      </c>
      <c r="I197" s="1230">
        <f t="shared" si="5"/>
        <v>419227</v>
      </c>
    </row>
    <row r="198" spans="1:9" ht="25.5">
      <c r="A198" s="1228" t="s">
        <v>1021</v>
      </c>
      <c r="B198" s="1229">
        <v>1047750</v>
      </c>
      <c r="C198" s="1229">
        <v>0</v>
      </c>
      <c r="D198" s="1230">
        <v>0</v>
      </c>
      <c r="E198" s="1230">
        <v>0</v>
      </c>
      <c r="F198" s="1230">
        <v>0</v>
      </c>
      <c r="G198" s="1230">
        <v>0</v>
      </c>
      <c r="H198" s="1230">
        <f t="shared" si="4"/>
        <v>1047750</v>
      </c>
      <c r="I198" s="1230">
        <f t="shared" si="5"/>
        <v>0</v>
      </c>
    </row>
    <row r="199" spans="1:9" ht="38.25" hidden="1">
      <c r="A199" s="1228" t="s">
        <v>1022</v>
      </c>
      <c r="B199" s="1229">
        <v>0</v>
      </c>
      <c r="C199" s="1229">
        <v>0</v>
      </c>
      <c r="D199" s="1230">
        <v>0</v>
      </c>
      <c r="E199" s="1230">
        <v>0</v>
      </c>
      <c r="F199" s="1230">
        <v>0</v>
      </c>
      <c r="G199" s="1230">
        <v>0</v>
      </c>
      <c r="H199" s="1230">
        <f t="shared" si="4"/>
        <v>0</v>
      </c>
      <c r="I199" s="1230">
        <f t="shared" si="5"/>
        <v>0</v>
      </c>
    </row>
    <row r="200" spans="1:9" ht="51" hidden="1">
      <c r="A200" s="1228" t="s">
        <v>1023</v>
      </c>
      <c r="B200" s="1229">
        <v>0</v>
      </c>
      <c r="C200" s="1229">
        <v>0</v>
      </c>
      <c r="D200" s="1230">
        <v>0</v>
      </c>
      <c r="E200" s="1230">
        <v>0</v>
      </c>
      <c r="F200" s="1230">
        <v>0</v>
      </c>
      <c r="G200" s="1230">
        <v>0</v>
      </c>
      <c r="H200" s="1230">
        <f t="shared" si="4"/>
        <v>0</v>
      </c>
      <c r="I200" s="1230">
        <f t="shared" si="5"/>
        <v>0</v>
      </c>
    </row>
    <row r="201" spans="1:9" ht="38.25" hidden="1">
      <c r="A201" s="1228" t="s">
        <v>1024</v>
      </c>
      <c r="B201" s="1229">
        <v>0</v>
      </c>
      <c r="C201" s="1229">
        <v>0</v>
      </c>
      <c r="D201" s="1230">
        <v>0</v>
      </c>
      <c r="E201" s="1230">
        <v>0</v>
      </c>
      <c r="F201" s="1230">
        <v>0</v>
      </c>
      <c r="G201" s="1230">
        <v>0</v>
      </c>
      <c r="H201" s="1230">
        <f t="shared" si="4"/>
        <v>0</v>
      </c>
      <c r="I201" s="1230">
        <f t="shared" si="5"/>
        <v>0</v>
      </c>
    </row>
    <row r="202" spans="1:9" ht="25.5" hidden="1">
      <c r="A202" s="1228" t="s">
        <v>1025</v>
      </c>
      <c r="B202" s="1229">
        <v>0</v>
      </c>
      <c r="C202" s="1229">
        <v>0</v>
      </c>
      <c r="D202" s="1230">
        <v>0</v>
      </c>
      <c r="E202" s="1230">
        <v>0</v>
      </c>
      <c r="F202" s="1230">
        <v>0</v>
      </c>
      <c r="G202" s="1230">
        <v>0</v>
      </c>
      <c r="H202" s="1230">
        <f aca="true" t="shared" si="6" ref="H202:H262">B202+D202+F202</f>
        <v>0</v>
      </c>
      <c r="I202" s="1230">
        <f aca="true" t="shared" si="7" ref="I202:I262">C202+E202+G202</f>
        <v>0</v>
      </c>
    </row>
    <row r="203" spans="1:9" ht="25.5" hidden="1">
      <c r="A203" s="1228" t="s">
        <v>1026</v>
      </c>
      <c r="B203" s="1229">
        <v>0</v>
      </c>
      <c r="C203" s="1229">
        <v>0</v>
      </c>
      <c r="D203" s="1230">
        <v>0</v>
      </c>
      <c r="E203" s="1230">
        <v>0</v>
      </c>
      <c r="F203" s="1230">
        <v>0</v>
      </c>
      <c r="G203" s="1230">
        <v>0</v>
      </c>
      <c r="H203" s="1230">
        <f t="shared" si="6"/>
        <v>0</v>
      </c>
      <c r="I203" s="1230">
        <f t="shared" si="7"/>
        <v>0</v>
      </c>
    </row>
    <row r="204" spans="1:9" ht="38.25" hidden="1">
      <c r="A204" s="1228" t="s">
        <v>1027</v>
      </c>
      <c r="B204" s="1229">
        <v>0</v>
      </c>
      <c r="C204" s="1229">
        <v>0</v>
      </c>
      <c r="D204" s="1230">
        <v>0</v>
      </c>
      <c r="E204" s="1230">
        <v>0</v>
      </c>
      <c r="F204" s="1230">
        <v>0</v>
      </c>
      <c r="G204" s="1230">
        <v>0</v>
      </c>
      <c r="H204" s="1230">
        <f t="shared" si="6"/>
        <v>0</v>
      </c>
      <c r="I204" s="1230">
        <f t="shared" si="7"/>
        <v>0</v>
      </c>
    </row>
    <row r="205" spans="1:9" ht="51" hidden="1">
      <c r="A205" s="1228" t="s">
        <v>1028</v>
      </c>
      <c r="B205" s="1229">
        <v>0</v>
      </c>
      <c r="C205" s="1229">
        <v>0</v>
      </c>
      <c r="D205" s="1230">
        <v>0</v>
      </c>
      <c r="E205" s="1230">
        <v>0</v>
      </c>
      <c r="F205" s="1230">
        <v>0</v>
      </c>
      <c r="G205" s="1230">
        <v>0</v>
      </c>
      <c r="H205" s="1230">
        <f t="shared" si="6"/>
        <v>0</v>
      </c>
      <c r="I205" s="1230">
        <f t="shared" si="7"/>
        <v>0</v>
      </c>
    </row>
    <row r="206" spans="1:9" ht="38.25" hidden="1">
      <c r="A206" s="1228" t="s">
        <v>1029</v>
      </c>
      <c r="B206" s="1229">
        <v>0</v>
      </c>
      <c r="C206" s="1229">
        <v>0</v>
      </c>
      <c r="D206" s="1230">
        <v>0</v>
      </c>
      <c r="E206" s="1230">
        <v>0</v>
      </c>
      <c r="F206" s="1230">
        <v>0</v>
      </c>
      <c r="G206" s="1230">
        <v>0</v>
      </c>
      <c r="H206" s="1230">
        <f t="shared" si="6"/>
        <v>0</v>
      </c>
      <c r="I206" s="1230">
        <f t="shared" si="7"/>
        <v>0</v>
      </c>
    </row>
    <row r="207" spans="1:9" ht="38.25" hidden="1">
      <c r="A207" s="1228" t="s">
        <v>1030</v>
      </c>
      <c r="B207" s="1229">
        <v>0</v>
      </c>
      <c r="C207" s="1229">
        <v>0</v>
      </c>
      <c r="D207" s="1230">
        <v>0</v>
      </c>
      <c r="E207" s="1230">
        <v>0</v>
      </c>
      <c r="F207" s="1230">
        <v>0</v>
      </c>
      <c r="G207" s="1230">
        <v>0</v>
      </c>
      <c r="H207" s="1230">
        <f t="shared" si="6"/>
        <v>0</v>
      </c>
      <c r="I207" s="1230">
        <f t="shared" si="7"/>
        <v>0</v>
      </c>
    </row>
    <row r="208" spans="1:9" ht="51" hidden="1">
      <c r="A208" s="1228" t="s">
        <v>1031</v>
      </c>
      <c r="B208" s="1229">
        <v>0</v>
      </c>
      <c r="C208" s="1229">
        <v>0</v>
      </c>
      <c r="D208" s="1230">
        <v>0</v>
      </c>
      <c r="E208" s="1230">
        <v>0</v>
      </c>
      <c r="F208" s="1230">
        <v>0</v>
      </c>
      <c r="G208" s="1230">
        <v>0</v>
      </c>
      <c r="H208" s="1230">
        <f t="shared" si="6"/>
        <v>0</v>
      </c>
      <c r="I208" s="1230">
        <f t="shared" si="7"/>
        <v>0</v>
      </c>
    </row>
    <row r="209" spans="1:9" ht="51" hidden="1">
      <c r="A209" s="1228" t="s">
        <v>1032</v>
      </c>
      <c r="B209" s="1229">
        <v>0</v>
      </c>
      <c r="C209" s="1229">
        <v>0</v>
      </c>
      <c r="D209" s="1230">
        <v>0</v>
      </c>
      <c r="E209" s="1230">
        <v>0</v>
      </c>
      <c r="F209" s="1230">
        <v>0</v>
      </c>
      <c r="G209" s="1230">
        <v>0</v>
      </c>
      <c r="H209" s="1230">
        <f t="shared" si="6"/>
        <v>0</v>
      </c>
      <c r="I209" s="1230">
        <f t="shared" si="7"/>
        <v>0</v>
      </c>
    </row>
    <row r="210" spans="1:9" ht="25.5" hidden="1">
      <c r="A210" s="1228" t="s">
        <v>1033</v>
      </c>
      <c r="B210" s="1229">
        <v>0</v>
      </c>
      <c r="C210" s="1229">
        <v>0</v>
      </c>
      <c r="D210" s="1230">
        <v>0</v>
      </c>
      <c r="E210" s="1230">
        <v>0</v>
      </c>
      <c r="F210" s="1230">
        <v>0</v>
      </c>
      <c r="G210" s="1230">
        <v>0</v>
      </c>
      <c r="H210" s="1230">
        <f t="shared" si="6"/>
        <v>0</v>
      </c>
      <c r="I210" s="1230">
        <f t="shared" si="7"/>
        <v>0</v>
      </c>
    </row>
    <row r="211" spans="1:9" ht="38.25" hidden="1">
      <c r="A211" s="1228" t="s">
        <v>1034</v>
      </c>
      <c r="B211" s="1229">
        <v>0</v>
      </c>
      <c r="C211" s="1229">
        <v>0</v>
      </c>
      <c r="D211" s="1230">
        <v>0</v>
      </c>
      <c r="E211" s="1230">
        <v>0</v>
      </c>
      <c r="F211" s="1230">
        <v>0</v>
      </c>
      <c r="G211" s="1230">
        <v>0</v>
      </c>
      <c r="H211" s="1230">
        <f t="shared" si="6"/>
        <v>0</v>
      </c>
      <c r="I211" s="1230">
        <f t="shared" si="7"/>
        <v>0</v>
      </c>
    </row>
    <row r="212" spans="1:9" ht="25.5" hidden="1">
      <c r="A212" s="1228" t="s">
        <v>1035</v>
      </c>
      <c r="B212" s="1229">
        <v>0</v>
      </c>
      <c r="C212" s="1229">
        <v>0</v>
      </c>
      <c r="D212" s="1230">
        <v>0</v>
      </c>
      <c r="E212" s="1230">
        <v>0</v>
      </c>
      <c r="F212" s="1230">
        <v>0</v>
      </c>
      <c r="G212" s="1230">
        <v>0</v>
      </c>
      <c r="H212" s="1230">
        <f t="shared" si="6"/>
        <v>0</v>
      </c>
      <c r="I212" s="1230">
        <f t="shared" si="7"/>
        <v>0</v>
      </c>
    </row>
    <row r="213" spans="1:9" ht="38.25" hidden="1">
      <c r="A213" s="1228" t="s">
        <v>1036</v>
      </c>
      <c r="B213" s="1229">
        <v>0</v>
      </c>
      <c r="C213" s="1229">
        <v>0</v>
      </c>
      <c r="D213" s="1230">
        <v>0</v>
      </c>
      <c r="E213" s="1230">
        <v>0</v>
      </c>
      <c r="F213" s="1230">
        <v>0</v>
      </c>
      <c r="G213" s="1230">
        <v>0</v>
      </c>
      <c r="H213" s="1230">
        <f t="shared" si="6"/>
        <v>0</v>
      </c>
      <c r="I213" s="1230">
        <f t="shared" si="7"/>
        <v>0</v>
      </c>
    </row>
    <row r="214" spans="1:9" ht="38.25" hidden="1">
      <c r="A214" s="1228" t="s">
        <v>1037</v>
      </c>
      <c r="B214" s="1229">
        <v>0</v>
      </c>
      <c r="C214" s="1229">
        <v>0</v>
      </c>
      <c r="D214" s="1230">
        <v>0</v>
      </c>
      <c r="E214" s="1230">
        <v>0</v>
      </c>
      <c r="F214" s="1230">
        <v>0</v>
      </c>
      <c r="G214" s="1230">
        <v>0</v>
      </c>
      <c r="H214" s="1230">
        <f t="shared" si="6"/>
        <v>0</v>
      </c>
      <c r="I214" s="1230">
        <f t="shared" si="7"/>
        <v>0</v>
      </c>
    </row>
    <row r="215" spans="1:9" ht="25.5" hidden="1">
      <c r="A215" s="1228" t="s">
        <v>1038</v>
      </c>
      <c r="B215" s="1229">
        <v>0</v>
      </c>
      <c r="C215" s="1229">
        <v>0</v>
      </c>
      <c r="D215" s="1230">
        <v>0</v>
      </c>
      <c r="E215" s="1230">
        <v>0</v>
      </c>
      <c r="F215" s="1230">
        <v>0</v>
      </c>
      <c r="G215" s="1230">
        <v>0</v>
      </c>
      <c r="H215" s="1230">
        <f t="shared" si="6"/>
        <v>0</v>
      </c>
      <c r="I215" s="1230">
        <f t="shared" si="7"/>
        <v>0</v>
      </c>
    </row>
    <row r="216" spans="1:9" ht="38.25" hidden="1">
      <c r="A216" s="1228" t="s">
        <v>1039</v>
      </c>
      <c r="B216" s="1229">
        <v>0</v>
      </c>
      <c r="C216" s="1229">
        <v>0</v>
      </c>
      <c r="D216" s="1230">
        <v>0</v>
      </c>
      <c r="E216" s="1230">
        <v>0</v>
      </c>
      <c r="F216" s="1230">
        <v>0</v>
      </c>
      <c r="G216" s="1230">
        <v>0</v>
      </c>
      <c r="H216" s="1230">
        <f t="shared" si="6"/>
        <v>0</v>
      </c>
      <c r="I216" s="1230">
        <f t="shared" si="7"/>
        <v>0</v>
      </c>
    </row>
    <row r="217" spans="1:9" ht="51" hidden="1">
      <c r="A217" s="1228" t="s">
        <v>1040</v>
      </c>
      <c r="B217" s="1229">
        <v>0</v>
      </c>
      <c r="C217" s="1229">
        <v>0</v>
      </c>
      <c r="D217" s="1230">
        <v>0</v>
      </c>
      <c r="E217" s="1230">
        <v>0</v>
      </c>
      <c r="F217" s="1230">
        <v>0</v>
      </c>
      <c r="G217" s="1230">
        <v>0</v>
      </c>
      <c r="H217" s="1230">
        <f t="shared" si="6"/>
        <v>0</v>
      </c>
      <c r="I217" s="1230">
        <f t="shared" si="7"/>
        <v>0</v>
      </c>
    </row>
    <row r="218" spans="1:9" ht="38.25" hidden="1">
      <c r="A218" s="1228" t="s">
        <v>1041</v>
      </c>
      <c r="B218" s="1229">
        <v>0</v>
      </c>
      <c r="C218" s="1229">
        <v>0</v>
      </c>
      <c r="D218" s="1230">
        <v>0</v>
      </c>
      <c r="E218" s="1230">
        <v>0</v>
      </c>
      <c r="F218" s="1230">
        <v>0</v>
      </c>
      <c r="G218" s="1230">
        <v>0</v>
      </c>
      <c r="H218" s="1230">
        <f t="shared" si="6"/>
        <v>0</v>
      </c>
      <c r="I218" s="1230">
        <f t="shared" si="7"/>
        <v>0</v>
      </c>
    </row>
    <row r="219" spans="1:9" ht="25.5" hidden="1">
      <c r="A219" s="1228" t="s">
        <v>1042</v>
      </c>
      <c r="B219" s="1229">
        <v>0</v>
      </c>
      <c r="C219" s="1229">
        <v>0</v>
      </c>
      <c r="D219" s="1230">
        <v>0</v>
      </c>
      <c r="E219" s="1230">
        <v>0</v>
      </c>
      <c r="F219" s="1230">
        <v>0</v>
      </c>
      <c r="G219" s="1230">
        <v>0</v>
      </c>
      <c r="H219" s="1230">
        <f t="shared" si="6"/>
        <v>0</v>
      </c>
      <c r="I219" s="1230">
        <f t="shared" si="7"/>
        <v>0</v>
      </c>
    </row>
    <row r="220" spans="1:9" ht="25.5">
      <c r="A220" s="1231" t="s">
        <v>1043</v>
      </c>
      <c r="B220" s="1232">
        <v>1047750</v>
      </c>
      <c r="C220" s="1232">
        <v>419227</v>
      </c>
      <c r="D220" s="1233">
        <v>0</v>
      </c>
      <c r="E220" s="1233">
        <v>0</v>
      </c>
      <c r="F220" s="1233">
        <v>0</v>
      </c>
      <c r="G220" s="1233">
        <v>0</v>
      </c>
      <c r="H220" s="1233">
        <f t="shared" si="6"/>
        <v>1047750</v>
      </c>
      <c r="I220" s="1233">
        <f t="shared" si="7"/>
        <v>419227</v>
      </c>
    </row>
    <row r="221" spans="1:9" ht="25.5" hidden="1">
      <c r="A221" s="1228" t="s">
        <v>1044</v>
      </c>
      <c r="B221" s="1229">
        <v>0</v>
      </c>
      <c r="C221" s="1229">
        <v>0</v>
      </c>
      <c r="D221" s="1230">
        <v>0</v>
      </c>
      <c r="E221" s="1230">
        <v>0</v>
      </c>
      <c r="F221" s="1230">
        <v>0</v>
      </c>
      <c r="G221" s="1230">
        <v>0</v>
      </c>
      <c r="H221" s="1230">
        <f t="shared" si="6"/>
        <v>0</v>
      </c>
      <c r="I221" s="1230">
        <f t="shared" si="7"/>
        <v>0</v>
      </c>
    </row>
    <row r="222" spans="1:9" ht="38.25" hidden="1">
      <c r="A222" s="1228" t="s">
        <v>1045</v>
      </c>
      <c r="B222" s="1229">
        <v>0</v>
      </c>
      <c r="C222" s="1229">
        <v>0</v>
      </c>
      <c r="D222" s="1230">
        <v>0</v>
      </c>
      <c r="E222" s="1230">
        <v>0</v>
      </c>
      <c r="F222" s="1230">
        <v>0</v>
      </c>
      <c r="G222" s="1230">
        <v>0</v>
      </c>
      <c r="H222" s="1230">
        <f t="shared" si="6"/>
        <v>0</v>
      </c>
      <c r="I222" s="1230">
        <f t="shared" si="7"/>
        <v>0</v>
      </c>
    </row>
    <row r="223" spans="1:9" ht="25.5" hidden="1">
      <c r="A223" s="1228" t="s">
        <v>1046</v>
      </c>
      <c r="B223" s="1229">
        <v>0</v>
      </c>
      <c r="C223" s="1229">
        <v>0</v>
      </c>
      <c r="D223" s="1230">
        <v>0</v>
      </c>
      <c r="E223" s="1230">
        <v>0</v>
      </c>
      <c r="F223" s="1230">
        <v>0</v>
      </c>
      <c r="G223" s="1230">
        <v>0</v>
      </c>
      <c r="H223" s="1230">
        <f t="shared" si="6"/>
        <v>0</v>
      </c>
      <c r="I223" s="1230">
        <f t="shared" si="7"/>
        <v>0</v>
      </c>
    </row>
    <row r="224" spans="1:9" ht="25.5" hidden="1">
      <c r="A224" s="1228" t="s">
        <v>1047</v>
      </c>
      <c r="B224" s="1229">
        <v>0</v>
      </c>
      <c r="C224" s="1229">
        <v>0</v>
      </c>
      <c r="D224" s="1230">
        <v>0</v>
      </c>
      <c r="E224" s="1230">
        <v>0</v>
      </c>
      <c r="F224" s="1230">
        <v>0</v>
      </c>
      <c r="G224" s="1230">
        <v>0</v>
      </c>
      <c r="H224" s="1230">
        <f t="shared" si="6"/>
        <v>0</v>
      </c>
      <c r="I224" s="1230">
        <f t="shared" si="7"/>
        <v>0</v>
      </c>
    </row>
    <row r="225" spans="1:9" ht="38.25">
      <c r="A225" s="1228" t="s">
        <v>1048</v>
      </c>
      <c r="B225" s="1229">
        <v>1355025</v>
      </c>
      <c r="C225" s="1229">
        <v>215403</v>
      </c>
      <c r="D225" s="1230">
        <v>0</v>
      </c>
      <c r="E225" s="1230">
        <v>0</v>
      </c>
      <c r="F225" s="1230">
        <v>0</v>
      </c>
      <c r="G225" s="1230">
        <v>0</v>
      </c>
      <c r="H225" s="1230">
        <f t="shared" si="6"/>
        <v>1355025</v>
      </c>
      <c r="I225" s="1230">
        <f t="shared" si="7"/>
        <v>215403</v>
      </c>
    </row>
    <row r="226" spans="1:9" ht="51" hidden="1">
      <c r="A226" s="1228" t="s">
        <v>1049</v>
      </c>
      <c r="B226" s="1229">
        <v>0</v>
      </c>
      <c r="C226" s="1229">
        <v>0</v>
      </c>
      <c r="D226" s="1230">
        <v>0</v>
      </c>
      <c r="E226" s="1230">
        <v>0</v>
      </c>
      <c r="F226" s="1230">
        <v>0</v>
      </c>
      <c r="G226" s="1230">
        <v>0</v>
      </c>
      <c r="H226" s="1230">
        <f t="shared" si="6"/>
        <v>0</v>
      </c>
      <c r="I226" s="1230">
        <f t="shared" si="7"/>
        <v>0</v>
      </c>
    </row>
    <row r="227" spans="1:9" ht="38.25" hidden="1">
      <c r="A227" s="1228" t="s">
        <v>1050</v>
      </c>
      <c r="B227" s="1229">
        <v>0</v>
      </c>
      <c r="C227" s="1229">
        <v>0</v>
      </c>
      <c r="D227" s="1230">
        <v>0</v>
      </c>
      <c r="E227" s="1230">
        <v>0</v>
      </c>
      <c r="F227" s="1230">
        <v>0</v>
      </c>
      <c r="G227" s="1230">
        <v>0</v>
      </c>
      <c r="H227" s="1230">
        <f t="shared" si="6"/>
        <v>0</v>
      </c>
      <c r="I227" s="1230">
        <f t="shared" si="7"/>
        <v>0</v>
      </c>
    </row>
    <row r="228" spans="1:9" ht="25.5" hidden="1">
      <c r="A228" s="1228" t="s">
        <v>1051</v>
      </c>
      <c r="B228" s="1229">
        <v>0</v>
      </c>
      <c r="C228" s="1229">
        <v>0</v>
      </c>
      <c r="D228" s="1230">
        <v>0</v>
      </c>
      <c r="E228" s="1230">
        <v>0</v>
      </c>
      <c r="F228" s="1230">
        <v>0</v>
      </c>
      <c r="G228" s="1230">
        <v>0</v>
      </c>
      <c r="H228" s="1230">
        <f t="shared" si="6"/>
        <v>0</v>
      </c>
      <c r="I228" s="1230">
        <f t="shared" si="7"/>
        <v>0</v>
      </c>
    </row>
    <row r="229" spans="1:9" ht="25.5" hidden="1">
      <c r="A229" s="1228" t="s">
        <v>1052</v>
      </c>
      <c r="B229" s="1229">
        <v>0</v>
      </c>
      <c r="C229" s="1229">
        <v>0</v>
      </c>
      <c r="D229" s="1230">
        <v>0</v>
      </c>
      <c r="E229" s="1230">
        <v>0</v>
      </c>
      <c r="F229" s="1230">
        <v>0</v>
      </c>
      <c r="G229" s="1230">
        <v>0</v>
      </c>
      <c r="H229" s="1230">
        <f t="shared" si="6"/>
        <v>0</v>
      </c>
      <c r="I229" s="1230">
        <f t="shared" si="7"/>
        <v>0</v>
      </c>
    </row>
    <row r="230" spans="1:9" ht="38.25" hidden="1">
      <c r="A230" s="1228" t="s">
        <v>1053</v>
      </c>
      <c r="B230" s="1229">
        <v>0</v>
      </c>
      <c r="C230" s="1229">
        <v>0</v>
      </c>
      <c r="D230" s="1230">
        <v>0</v>
      </c>
      <c r="E230" s="1230">
        <v>0</v>
      </c>
      <c r="F230" s="1230">
        <v>0</v>
      </c>
      <c r="G230" s="1230">
        <v>0</v>
      </c>
      <c r="H230" s="1230">
        <f t="shared" si="6"/>
        <v>0</v>
      </c>
      <c r="I230" s="1230">
        <f t="shared" si="7"/>
        <v>0</v>
      </c>
    </row>
    <row r="231" spans="1:9" ht="51" hidden="1">
      <c r="A231" s="1228" t="s">
        <v>1054</v>
      </c>
      <c r="B231" s="1229">
        <v>0</v>
      </c>
      <c r="C231" s="1229">
        <v>0</v>
      </c>
      <c r="D231" s="1230">
        <v>0</v>
      </c>
      <c r="E231" s="1230">
        <v>0</v>
      </c>
      <c r="F231" s="1230">
        <v>0</v>
      </c>
      <c r="G231" s="1230">
        <v>0</v>
      </c>
      <c r="H231" s="1230">
        <f t="shared" si="6"/>
        <v>0</v>
      </c>
      <c r="I231" s="1230">
        <f t="shared" si="7"/>
        <v>0</v>
      </c>
    </row>
    <row r="232" spans="1:9" ht="38.25" hidden="1">
      <c r="A232" s="1228" t="s">
        <v>1055</v>
      </c>
      <c r="B232" s="1229">
        <v>0</v>
      </c>
      <c r="C232" s="1229">
        <v>0</v>
      </c>
      <c r="D232" s="1230">
        <v>0</v>
      </c>
      <c r="E232" s="1230">
        <v>0</v>
      </c>
      <c r="F232" s="1230">
        <v>0</v>
      </c>
      <c r="G232" s="1230">
        <v>0</v>
      </c>
      <c r="H232" s="1230">
        <f t="shared" si="6"/>
        <v>0</v>
      </c>
      <c r="I232" s="1230">
        <f t="shared" si="7"/>
        <v>0</v>
      </c>
    </row>
    <row r="233" spans="1:9" ht="38.25">
      <c r="A233" s="1228" t="s">
        <v>1056</v>
      </c>
      <c r="B233" s="1229">
        <v>8964221</v>
      </c>
      <c r="C233" s="1229">
        <v>16437700</v>
      </c>
      <c r="D233" s="1230">
        <v>0</v>
      </c>
      <c r="E233" s="1230">
        <v>0</v>
      </c>
      <c r="F233" s="1230">
        <v>0</v>
      </c>
      <c r="G233" s="1230">
        <v>0</v>
      </c>
      <c r="H233" s="1230">
        <f t="shared" si="6"/>
        <v>8964221</v>
      </c>
      <c r="I233" s="1230">
        <f t="shared" si="7"/>
        <v>16437700</v>
      </c>
    </row>
    <row r="234" spans="1:9" ht="51">
      <c r="A234" s="1228" t="s">
        <v>1057</v>
      </c>
      <c r="B234" s="1229">
        <v>0</v>
      </c>
      <c r="C234" s="1229">
        <v>8315281</v>
      </c>
      <c r="D234" s="1230">
        <v>0</v>
      </c>
      <c r="E234" s="1230">
        <v>0</v>
      </c>
      <c r="F234" s="1230">
        <v>0</v>
      </c>
      <c r="G234" s="1230">
        <v>0</v>
      </c>
      <c r="H234" s="1230">
        <f t="shared" si="6"/>
        <v>0</v>
      </c>
      <c r="I234" s="1230">
        <f t="shared" si="7"/>
        <v>8315281</v>
      </c>
    </row>
    <row r="235" spans="1:9" ht="38.25" hidden="1">
      <c r="A235" s="1228" t="s">
        <v>1058</v>
      </c>
      <c r="B235" s="1229">
        <v>0</v>
      </c>
      <c r="C235" s="1229">
        <v>0</v>
      </c>
      <c r="D235" s="1230">
        <v>0</v>
      </c>
      <c r="E235" s="1230">
        <v>0</v>
      </c>
      <c r="F235" s="1230">
        <v>0</v>
      </c>
      <c r="G235" s="1230">
        <v>0</v>
      </c>
      <c r="H235" s="1230">
        <f t="shared" si="6"/>
        <v>0</v>
      </c>
      <c r="I235" s="1230">
        <f t="shared" si="7"/>
        <v>0</v>
      </c>
    </row>
    <row r="236" spans="1:9" ht="38.25" hidden="1">
      <c r="A236" s="1228" t="s">
        <v>1059</v>
      </c>
      <c r="B236" s="1229">
        <v>0</v>
      </c>
      <c r="C236" s="1229">
        <v>0</v>
      </c>
      <c r="D236" s="1230">
        <v>0</v>
      </c>
      <c r="E236" s="1230">
        <v>0</v>
      </c>
      <c r="F236" s="1230">
        <v>0</v>
      </c>
      <c r="G236" s="1230">
        <v>0</v>
      </c>
      <c r="H236" s="1230">
        <f t="shared" si="6"/>
        <v>0</v>
      </c>
      <c r="I236" s="1230">
        <f t="shared" si="7"/>
        <v>0</v>
      </c>
    </row>
    <row r="237" spans="1:9" ht="38.25" hidden="1">
      <c r="A237" s="1228" t="s">
        <v>1060</v>
      </c>
      <c r="B237" s="1229">
        <v>0</v>
      </c>
      <c r="C237" s="1229">
        <v>0</v>
      </c>
      <c r="D237" s="1230">
        <v>0</v>
      </c>
      <c r="E237" s="1230">
        <v>0</v>
      </c>
      <c r="F237" s="1230">
        <v>0</v>
      </c>
      <c r="G237" s="1230">
        <v>0</v>
      </c>
      <c r="H237" s="1230">
        <f t="shared" si="6"/>
        <v>0</v>
      </c>
      <c r="I237" s="1230">
        <f t="shared" si="7"/>
        <v>0</v>
      </c>
    </row>
    <row r="238" spans="1:9" ht="38.25">
      <c r="A238" s="1228" t="s">
        <v>1061</v>
      </c>
      <c r="B238" s="1229">
        <v>8964221</v>
      </c>
      <c r="C238" s="1229">
        <v>8122419</v>
      </c>
      <c r="D238" s="1230">
        <v>0</v>
      </c>
      <c r="E238" s="1230">
        <v>0</v>
      </c>
      <c r="F238" s="1230">
        <v>0</v>
      </c>
      <c r="G238" s="1230">
        <v>0</v>
      </c>
      <c r="H238" s="1230">
        <f t="shared" si="6"/>
        <v>8964221</v>
      </c>
      <c r="I238" s="1230">
        <f t="shared" si="7"/>
        <v>8122419</v>
      </c>
    </row>
    <row r="239" spans="1:9" ht="38.25" hidden="1">
      <c r="A239" s="1228" t="s">
        <v>1062</v>
      </c>
      <c r="B239" s="1229">
        <v>0</v>
      </c>
      <c r="C239" s="1229">
        <v>0</v>
      </c>
      <c r="D239" s="1230">
        <v>0</v>
      </c>
      <c r="E239" s="1230">
        <v>0</v>
      </c>
      <c r="F239" s="1230">
        <v>0</v>
      </c>
      <c r="G239" s="1230">
        <v>0</v>
      </c>
      <c r="H239" s="1230">
        <f t="shared" si="6"/>
        <v>0</v>
      </c>
      <c r="I239" s="1230">
        <f t="shared" si="7"/>
        <v>0</v>
      </c>
    </row>
    <row r="240" spans="1:9" ht="38.25" hidden="1">
      <c r="A240" s="1228" t="s">
        <v>1063</v>
      </c>
      <c r="B240" s="1229">
        <v>0</v>
      </c>
      <c r="C240" s="1229">
        <v>0</v>
      </c>
      <c r="D240" s="1230">
        <v>0</v>
      </c>
      <c r="E240" s="1230">
        <v>0</v>
      </c>
      <c r="F240" s="1230">
        <v>0</v>
      </c>
      <c r="G240" s="1230">
        <v>0</v>
      </c>
      <c r="H240" s="1230">
        <f t="shared" si="6"/>
        <v>0</v>
      </c>
      <c r="I240" s="1230">
        <f t="shared" si="7"/>
        <v>0</v>
      </c>
    </row>
    <row r="241" spans="1:9" ht="51" hidden="1">
      <c r="A241" s="1228" t="s">
        <v>1064</v>
      </c>
      <c r="B241" s="1229">
        <v>0</v>
      </c>
      <c r="C241" s="1229">
        <v>0</v>
      </c>
      <c r="D241" s="1230">
        <v>0</v>
      </c>
      <c r="E241" s="1230">
        <v>0</v>
      </c>
      <c r="F241" s="1230">
        <v>0</v>
      </c>
      <c r="G241" s="1230">
        <v>0</v>
      </c>
      <c r="H241" s="1230">
        <f t="shared" si="6"/>
        <v>0</v>
      </c>
      <c r="I241" s="1230">
        <f t="shared" si="7"/>
        <v>0</v>
      </c>
    </row>
    <row r="242" spans="1:9" ht="51" hidden="1">
      <c r="A242" s="1228" t="s">
        <v>1065</v>
      </c>
      <c r="B242" s="1229">
        <v>0</v>
      </c>
      <c r="C242" s="1229">
        <v>0</v>
      </c>
      <c r="D242" s="1230">
        <v>0</v>
      </c>
      <c r="E242" s="1230">
        <v>0</v>
      </c>
      <c r="F242" s="1230">
        <v>0</v>
      </c>
      <c r="G242" s="1230">
        <v>0</v>
      </c>
      <c r="H242" s="1230">
        <f t="shared" si="6"/>
        <v>0</v>
      </c>
      <c r="I242" s="1230">
        <f t="shared" si="7"/>
        <v>0</v>
      </c>
    </row>
    <row r="243" spans="1:9" ht="25.5" hidden="1">
      <c r="A243" s="1228" t="s">
        <v>1066</v>
      </c>
      <c r="B243" s="1229">
        <v>0</v>
      </c>
      <c r="C243" s="1229">
        <v>0</v>
      </c>
      <c r="D243" s="1230">
        <v>0</v>
      </c>
      <c r="E243" s="1230">
        <v>0</v>
      </c>
      <c r="F243" s="1230">
        <v>0</v>
      </c>
      <c r="G243" s="1230">
        <v>0</v>
      </c>
      <c r="H243" s="1230">
        <f t="shared" si="6"/>
        <v>0</v>
      </c>
      <c r="I243" s="1230">
        <f t="shared" si="7"/>
        <v>0</v>
      </c>
    </row>
    <row r="244" spans="1:9" ht="25.5">
      <c r="A244" s="1231" t="s">
        <v>1067</v>
      </c>
      <c r="B244" s="1232">
        <v>10319246</v>
      </c>
      <c r="C244" s="1232">
        <v>16653103</v>
      </c>
      <c r="D244" s="1233">
        <v>0</v>
      </c>
      <c r="E244" s="1233">
        <v>0</v>
      </c>
      <c r="F244" s="1233">
        <v>0</v>
      </c>
      <c r="G244" s="1233">
        <v>0</v>
      </c>
      <c r="H244" s="1233">
        <f t="shared" si="6"/>
        <v>10319246</v>
      </c>
      <c r="I244" s="1233">
        <f t="shared" si="7"/>
        <v>16653103</v>
      </c>
    </row>
    <row r="245" spans="1:9" ht="12.75" hidden="1">
      <c r="A245" s="1228" t="s">
        <v>1068</v>
      </c>
      <c r="B245" s="1229">
        <v>0</v>
      </c>
      <c r="C245" s="1229">
        <v>0</v>
      </c>
      <c r="D245" s="1230">
        <v>0</v>
      </c>
      <c r="E245" s="1230">
        <v>0</v>
      </c>
      <c r="F245" s="1230">
        <v>0</v>
      </c>
      <c r="G245" s="1230">
        <v>0</v>
      </c>
      <c r="H245" s="1230">
        <f t="shared" si="6"/>
        <v>0</v>
      </c>
      <c r="I245" s="1230">
        <f t="shared" si="7"/>
        <v>0</v>
      </c>
    </row>
    <row r="246" spans="1:9" ht="25.5" hidden="1">
      <c r="A246" s="1228" t="s">
        <v>1069</v>
      </c>
      <c r="B246" s="1229">
        <v>0</v>
      </c>
      <c r="C246" s="1229">
        <v>0</v>
      </c>
      <c r="D246" s="1230">
        <v>0</v>
      </c>
      <c r="E246" s="1230">
        <v>0</v>
      </c>
      <c r="F246" s="1230">
        <v>0</v>
      </c>
      <c r="G246" s="1230">
        <v>0</v>
      </c>
      <c r="H246" s="1230">
        <f t="shared" si="6"/>
        <v>0</v>
      </c>
      <c r="I246" s="1230">
        <f t="shared" si="7"/>
        <v>0</v>
      </c>
    </row>
    <row r="247" spans="1:9" ht="25.5">
      <c r="A247" s="1228" t="s">
        <v>1070</v>
      </c>
      <c r="B247" s="1229">
        <v>534078</v>
      </c>
      <c r="C247" s="1229">
        <v>149479</v>
      </c>
      <c r="D247" s="1230">
        <v>0</v>
      </c>
      <c r="E247" s="1230">
        <v>0</v>
      </c>
      <c r="F247" s="1230">
        <v>0</v>
      </c>
      <c r="G247" s="1230">
        <v>0</v>
      </c>
      <c r="H247" s="1230">
        <f t="shared" si="6"/>
        <v>534078</v>
      </c>
      <c r="I247" s="1230">
        <f t="shared" si="7"/>
        <v>149479</v>
      </c>
    </row>
    <row r="248" spans="1:9" ht="12.75" hidden="1">
      <c r="A248" s="1228" t="s">
        <v>1071</v>
      </c>
      <c r="B248" s="1229">
        <v>0</v>
      </c>
      <c r="C248" s="1229">
        <v>0</v>
      </c>
      <c r="D248" s="1230">
        <v>0</v>
      </c>
      <c r="E248" s="1230">
        <v>0</v>
      </c>
      <c r="F248" s="1230">
        <v>0</v>
      </c>
      <c r="G248" s="1230">
        <v>0</v>
      </c>
      <c r="H248" s="1230">
        <f t="shared" si="6"/>
        <v>0</v>
      </c>
      <c r="I248" s="1230">
        <f t="shared" si="7"/>
        <v>0</v>
      </c>
    </row>
    <row r="249" spans="1:9" ht="38.25" hidden="1">
      <c r="A249" s="1228" t="s">
        <v>1072</v>
      </c>
      <c r="B249" s="1229">
        <v>0</v>
      </c>
      <c r="C249" s="1229">
        <v>0</v>
      </c>
      <c r="D249" s="1230">
        <v>0</v>
      </c>
      <c r="E249" s="1230">
        <v>0</v>
      </c>
      <c r="F249" s="1230">
        <v>0</v>
      </c>
      <c r="G249" s="1230">
        <v>0</v>
      </c>
      <c r="H249" s="1230">
        <f t="shared" si="6"/>
        <v>0</v>
      </c>
      <c r="I249" s="1230">
        <f t="shared" si="7"/>
        <v>0</v>
      </c>
    </row>
    <row r="250" spans="1:9" ht="38.25" hidden="1">
      <c r="A250" s="1228" t="s">
        <v>1073</v>
      </c>
      <c r="B250" s="1229">
        <v>0</v>
      </c>
      <c r="C250" s="1229">
        <v>0</v>
      </c>
      <c r="D250" s="1230">
        <v>0</v>
      </c>
      <c r="E250" s="1230">
        <v>0</v>
      </c>
      <c r="F250" s="1230">
        <v>0</v>
      </c>
      <c r="G250" s="1230">
        <v>0</v>
      </c>
      <c r="H250" s="1230">
        <f t="shared" si="6"/>
        <v>0</v>
      </c>
      <c r="I250" s="1230">
        <f t="shared" si="7"/>
        <v>0</v>
      </c>
    </row>
    <row r="251" spans="1:9" ht="38.25" hidden="1">
      <c r="A251" s="1228" t="s">
        <v>1074</v>
      </c>
      <c r="B251" s="1229">
        <v>0</v>
      </c>
      <c r="C251" s="1229">
        <v>0</v>
      </c>
      <c r="D251" s="1230">
        <v>0</v>
      </c>
      <c r="E251" s="1230">
        <v>0</v>
      </c>
      <c r="F251" s="1230">
        <v>0</v>
      </c>
      <c r="G251" s="1230">
        <v>0</v>
      </c>
      <c r="H251" s="1230">
        <f t="shared" si="6"/>
        <v>0</v>
      </c>
      <c r="I251" s="1230">
        <f t="shared" si="7"/>
        <v>0</v>
      </c>
    </row>
    <row r="252" spans="1:9" ht="25.5" hidden="1">
      <c r="A252" s="1228" t="s">
        <v>1075</v>
      </c>
      <c r="B252" s="1229">
        <v>0</v>
      </c>
      <c r="C252" s="1229">
        <v>0</v>
      </c>
      <c r="D252" s="1230">
        <v>0</v>
      </c>
      <c r="E252" s="1230">
        <v>0</v>
      </c>
      <c r="F252" s="1230">
        <v>0</v>
      </c>
      <c r="G252" s="1230">
        <v>0</v>
      </c>
      <c r="H252" s="1230">
        <f t="shared" si="6"/>
        <v>0</v>
      </c>
      <c r="I252" s="1230">
        <f t="shared" si="7"/>
        <v>0</v>
      </c>
    </row>
    <row r="253" spans="1:9" ht="25.5" hidden="1">
      <c r="A253" s="1228" t="s">
        <v>1076</v>
      </c>
      <c r="B253" s="1229">
        <v>0</v>
      </c>
      <c r="C253" s="1229">
        <v>0</v>
      </c>
      <c r="D253" s="1230">
        <v>0</v>
      </c>
      <c r="E253" s="1230">
        <v>0</v>
      </c>
      <c r="F253" s="1230">
        <v>0</v>
      </c>
      <c r="G253" s="1230">
        <v>0</v>
      </c>
      <c r="H253" s="1230">
        <f t="shared" si="6"/>
        <v>0</v>
      </c>
      <c r="I253" s="1230">
        <f t="shared" si="7"/>
        <v>0</v>
      </c>
    </row>
    <row r="254" spans="1:9" ht="25.5" hidden="1">
      <c r="A254" s="1228" t="s">
        <v>1077</v>
      </c>
      <c r="B254" s="1229">
        <v>0</v>
      </c>
      <c r="C254" s="1229">
        <v>0</v>
      </c>
      <c r="D254" s="1230">
        <v>0</v>
      </c>
      <c r="E254" s="1230">
        <v>0</v>
      </c>
      <c r="F254" s="1230">
        <v>0</v>
      </c>
      <c r="G254" s="1230">
        <v>0</v>
      </c>
      <c r="H254" s="1230">
        <f t="shared" si="6"/>
        <v>0</v>
      </c>
      <c r="I254" s="1230">
        <f t="shared" si="7"/>
        <v>0</v>
      </c>
    </row>
    <row r="255" spans="1:9" ht="25.5">
      <c r="A255" s="1231" t="s">
        <v>1078</v>
      </c>
      <c r="B255" s="1232">
        <v>534078</v>
      </c>
      <c r="C255" s="1232">
        <v>149479</v>
      </c>
      <c r="D255" s="1233">
        <v>0</v>
      </c>
      <c r="E255" s="1233">
        <v>0</v>
      </c>
      <c r="F255" s="1233">
        <v>0</v>
      </c>
      <c r="G255" s="1233">
        <v>0</v>
      </c>
      <c r="H255" s="1233">
        <f t="shared" si="6"/>
        <v>534078</v>
      </c>
      <c r="I255" s="1233">
        <f t="shared" si="7"/>
        <v>149479</v>
      </c>
    </row>
    <row r="256" spans="1:9" ht="12.75">
      <c r="A256" s="1231" t="s">
        <v>1079</v>
      </c>
      <c r="B256" s="1232">
        <v>11901074</v>
      </c>
      <c r="C256" s="1232">
        <v>17221809</v>
      </c>
      <c r="D256" s="1233">
        <v>0</v>
      </c>
      <c r="E256" s="1233">
        <v>0</v>
      </c>
      <c r="F256" s="1233">
        <v>0</v>
      </c>
      <c r="G256" s="1233">
        <v>0</v>
      </c>
      <c r="H256" s="1233">
        <f t="shared" si="6"/>
        <v>11901074</v>
      </c>
      <c r="I256" s="1233">
        <f t="shared" si="7"/>
        <v>17221809</v>
      </c>
    </row>
    <row r="257" spans="1:9" ht="25.5" hidden="1">
      <c r="A257" s="1231" t="s">
        <v>1080</v>
      </c>
      <c r="B257" s="1232">
        <v>0</v>
      </c>
      <c r="C257" s="1232">
        <v>0</v>
      </c>
      <c r="D257" s="1233">
        <v>0</v>
      </c>
      <c r="E257" s="1233">
        <v>0</v>
      </c>
      <c r="F257" s="1233">
        <v>0</v>
      </c>
      <c r="G257" s="1233">
        <v>0</v>
      </c>
      <c r="H257" s="1233">
        <f t="shared" si="6"/>
        <v>0</v>
      </c>
      <c r="I257" s="1233">
        <f t="shared" si="7"/>
        <v>0</v>
      </c>
    </row>
    <row r="258" spans="1:9" ht="25.5" hidden="1">
      <c r="A258" s="1228" t="s">
        <v>1081</v>
      </c>
      <c r="B258" s="1229">
        <v>0</v>
      </c>
      <c r="C258" s="1229">
        <v>0</v>
      </c>
      <c r="D258" s="1230">
        <v>0</v>
      </c>
      <c r="E258" s="1230">
        <v>0</v>
      </c>
      <c r="F258" s="1230">
        <v>0</v>
      </c>
      <c r="G258" s="1230">
        <v>0</v>
      </c>
      <c r="H258" s="1230">
        <f t="shared" si="6"/>
        <v>0</v>
      </c>
      <c r="I258" s="1230">
        <f t="shared" si="7"/>
        <v>0</v>
      </c>
    </row>
    <row r="259" spans="1:9" ht="25.5">
      <c r="A259" s="1228" t="s">
        <v>1082</v>
      </c>
      <c r="B259" s="1229">
        <v>0</v>
      </c>
      <c r="C259" s="1229">
        <v>3574462</v>
      </c>
      <c r="D259" s="1230">
        <v>0</v>
      </c>
      <c r="E259" s="1230">
        <v>5057743</v>
      </c>
      <c r="F259" s="1230">
        <v>0</v>
      </c>
      <c r="G259" s="1230">
        <v>5989573</v>
      </c>
      <c r="H259" s="1230">
        <f t="shared" si="6"/>
        <v>0</v>
      </c>
      <c r="I259" s="1230">
        <f t="shared" si="7"/>
        <v>14621778</v>
      </c>
    </row>
    <row r="260" spans="1:9" ht="12.75" hidden="1">
      <c r="A260" s="1228" t="s">
        <v>1083</v>
      </c>
      <c r="B260" s="1229">
        <v>0</v>
      </c>
      <c r="C260" s="1229">
        <v>0</v>
      </c>
      <c r="D260" s="1230">
        <v>0</v>
      </c>
      <c r="E260" s="1230">
        <v>0</v>
      </c>
      <c r="F260" s="1230">
        <v>0</v>
      </c>
      <c r="G260" s="1230">
        <v>0</v>
      </c>
      <c r="H260" s="1230">
        <f t="shared" si="6"/>
        <v>0</v>
      </c>
      <c r="I260" s="1230">
        <f t="shared" si="7"/>
        <v>0</v>
      </c>
    </row>
    <row r="261" spans="1:9" ht="25.5">
      <c r="A261" s="1231" t="s">
        <v>1084</v>
      </c>
      <c r="B261" s="1232">
        <v>0</v>
      </c>
      <c r="C261" s="1232">
        <v>3574462</v>
      </c>
      <c r="D261" s="1233">
        <v>0</v>
      </c>
      <c r="E261" s="1233">
        <v>5057743</v>
      </c>
      <c r="F261" s="1233">
        <v>0</v>
      </c>
      <c r="G261" s="1233">
        <v>5989573</v>
      </c>
      <c r="H261" s="1233">
        <f t="shared" si="6"/>
        <v>0</v>
      </c>
      <c r="I261" s="1233">
        <f t="shared" si="7"/>
        <v>14621778</v>
      </c>
    </row>
    <row r="262" spans="1:9" ht="12.75">
      <c r="A262" s="1231" t="s">
        <v>1085</v>
      </c>
      <c r="B262" s="1232">
        <v>1268232868</v>
      </c>
      <c r="C262" s="1232">
        <v>1324854069</v>
      </c>
      <c r="D262" s="1233">
        <v>569831</v>
      </c>
      <c r="E262" s="1233">
        <v>1041722</v>
      </c>
      <c r="F262" s="1233">
        <v>7117873</v>
      </c>
      <c r="G262" s="1233">
        <v>6054106</v>
      </c>
      <c r="H262" s="1233">
        <f t="shared" si="6"/>
        <v>1275920572</v>
      </c>
      <c r="I262" s="1233">
        <f t="shared" si="7"/>
        <v>1331949897</v>
      </c>
    </row>
  </sheetData>
  <sheetProtection/>
  <mergeCells count="8">
    <mergeCell ref="H7:I7"/>
    <mergeCell ref="A1:I1"/>
    <mergeCell ref="A6:I6"/>
    <mergeCell ref="A2:I2"/>
    <mergeCell ref="A3:I3"/>
    <mergeCell ref="B7:C7"/>
    <mergeCell ref="D7:E7"/>
    <mergeCell ref="F7:G7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4-2a-28-5f-d-1273-5846e2d-50-5f6e-69-3e-34-53-64&amp;C&amp;R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IT92"/>
  <sheetViews>
    <sheetView workbookViewId="0" topLeftCell="A73">
      <selection activeCell="G12" sqref="G12"/>
    </sheetView>
  </sheetViews>
  <sheetFormatPr defaultColWidth="60.421875" defaultRowHeight="12.75"/>
  <cols>
    <col min="1" max="1" width="60.421875" style="1160" customWidth="1"/>
    <col min="2" max="2" width="5.57421875" style="1161" customWidth="1"/>
    <col min="3" max="3" width="13.140625" style="1160" customWidth="1"/>
    <col min="4" max="4" width="14.8515625" style="1160" customWidth="1"/>
    <col min="5" max="253" width="10.7109375" style="1131" customWidth="1"/>
    <col min="254" max="16384" width="60.421875" style="1131" customWidth="1"/>
  </cols>
  <sheetData>
    <row r="1" spans="1:254" ht="49.5" customHeight="1">
      <c r="A1" s="1496" t="s">
        <v>669</v>
      </c>
      <c r="B1" s="1496"/>
      <c r="C1" s="1496"/>
      <c r="D1" s="1496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  <c r="P1" s="1137"/>
      <c r="Q1" s="1137"/>
      <c r="R1" s="1137"/>
      <c r="S1" s="1137"/>
      <c r="T1" s="1137"/>
      <c r="U1" s="1137"/>
      <c r="V1" s="1137"/>
      <c r="W1" s="1137"/>
      <c r="X1" s="1137"/>
      <c r="Y1" s="1137"/>
      <c r="Z1" s="1137"/>
      <c r="AA1" s="1137"/>
      <c r="AB1" s="1137"/>
      <c r="AC1" s="1137"/>
      <c r="AD1" s="1137"/>
      <c r="AE1" s="1137"/>
      <c r="AF1" s="1137"/>
      <c r="AG1" s="1137"/>
      <c r="AH1" s="1137"/>
      <c r="AI1" s="1137"/>
      <c r="AJ1" s="1137"/>
      <c r="AK1" s="1137"/>
      <c r="AL1" s="1137"/>
      <c r="AM1" s="1137"/>
      <c r="AN1" s="1137"/>
      <c r="AO1" s="1137"/>
      <c r="AP1" s="1137"/>
      <c r="AQ1" s="1137"/>
      <c r="AR1" s="1137"/>
      <c r="AS1" s="1137"/>
      <c r="AT1" s="1137"/>
      <c r="AU1" s="1137"/>
      <c r="AV1" s="1137"/>
      <c r="AW1" s="1137"/>
      <c r="AX1" s="1137"/>
      <c r="AY1" s="1137"/>
      <c r="AZ1" s="1137"/>
      <c r="BA1" s="1137"/>
      <c r="BB1" s="1137"/>
      <c r="BC1" s="1137"/>
      <c r="BD1" s="1137"/>
      <c r="BE1" s="1137"/>
      <c r="BF1" s="1137"/>
      <c r="BG1" s="1137"/>
      <c r="BH1" s="1137"/>
      <c r="BI1" s="1137"/>
      <c r="BJ1" s="1137"/>
      <c r="BK1" s="1137"/>
      <c r="BL1" s="1137"/>
      <c r="BM1" s="1137"/>
      <c r="BN1" s="1137"/>
      <c r="BO1" s="1137"/>
      <c r="BP1" s="1137"/>
      <c r="BQ1" s="1137"/>
      <c r="BR1" s="1137"/>
      <c r="BS1" s="1137"/>
      <c r="BT1" s="1137"/>
      <c r="BU1" s="1137"/>
      <c r="BV1" s="1137"/>
      <c r="BW1" s="1137"/>
      <c r="BX1" s="1137"/>
      <c r="BY1" s="1137"/>
      <c r="BZ1" s="1137"/>
      <c r="CA1" s="1137"/>
      <c r="CB1" s="1137"/>
      <c r="CC1" s="1137"/>
      <c r="CD1" s="1137"/>
      <c r="CE1" s="1137"/>
      <c r="CF1" s="1137"/>
      <c r="CG1" s="1137"/>
      <c r="CH1" s="1137"/>
      <c r="CI1" s="1137"/>
      <c r="CJ1" s="1137"/>
      <c r="CK1" s="1137"/>
      <c r="CL1" s="1137"/>
      <c r="CM1" s="1137"/>
      <c r="CN1" s="1137"/>
      <c r="CO1" s="1137"/>
      <c r="CP1" s="1137"/>
      <c r="CQ1" s="1137"/>
      <c r="CR1" s="1137"/>
      <c r="CS1" s="1137"/>
      <c r="CT1" s="1137"/>
      <c r="CU1" s="1137"/>
      <c r="CV1" s="1137"/>
      <c r="CW1" s="1137"/>
      <c r="CX1" s="1137"/>
      <c r="CY1" s="1137"/>
      <c r="CZ1" s="1137"/>
      <c r="DA1" s="1137"/>
      <c r="DB1" s="1137"/>
      <c r="DC1" s="1137"/>
      <c r="DD1" s="1137"/>
      <c r="DE1" s="1137"/>
      <c r="DF1" s="1137"/>
      <c r="DG1" s="1137"/>
      <c r="DH1" s="1137"/>
      <c r="DI1" s="1137"/>
      <c r="DJ1" s="1137"/>
      <c r="DK1" s="1137"/>
      <c r="DL1" s="1137"/>
      <c r="DM1" s="1137"/>
      <c r="DN1" s="1137"/>
      <c r="DO1" s="1137"/>
      <c r="DP1" s="1137"/>
      <c r="DQ1" s="1137"/>
      <c r="DR1" s="1137"/>
      <c r="DS1" s="1137"/>
      <c r="DT1" s="1137"/>
      <c r="DU1" s="1137"/>
      <c r="DV1" s="1137"/>
      <c r="DW1" s="1137"/>
      <c r="DX1" s="1137"/>
      <c r="DY1" s="1137"/>
      <c r="DZ1" s="1137"/>
      <c r="EA1" s="1137"/>
      <c r="EB1" s="1137"/>
      <c r="EC1" s="1137"/>
      <c r="ED1" s="1137"/>
      <c r="EE1" s="1137"/>
      <c r="EF1" s="1137"/>
      <c r="EG1" s="1137"/>
      <c r="EH1" s="1137"/>
      <c r="EI1" s="1137"/>
      <c r="EJ1" s="1137"/>
      <c r="EK1" s="1137"/>
      <c r="EL1" s="1137"/>
      <c r="EM1" s="1137"/>
      <c r="EN1" s="1137"/>
      <c r="EO1" s="1137"/>
      <c r="EP1" s="1137"/>
      <c r="EQ1" s="1137"/>
      <c r="ER1" s="1137"/>
      <c r="ES1" s="1137"/>
      <c r="ET1" s="1137"/>
      <c r="EU1" s="1137"/>
      <c r="EV1" s="1137"/>
      <c r="EW1" s="1137"/>
      <c r="EX1" s="1137"/>
      <c r="EY1" s="1137"/>
      <c r="EZ1" s="1137"/>
      <c r="FA1" s="1137"/>
      <c r="FB1" s="1137"/>
      <c r="FC1" s="1137"/>
      <c r="FD1" s="1137"/>
      <c r="FE1" s="1137"/>
      <c r="FF1" s="1137"/>
      <c r="FG1" s="1137"/>
      <c r="FH1" s="1137"/>
      <c r="FI1" s="1137"/>
      <c r="FJ1" s="1137"/>
      <c r="FK1" s="1137"/>
      <c r="FL1" s="1137"/>
      <c r="FM1" s="1137"/>
      <c r="FN1" s="1137"/>
      <c r="FO1" s="1137"/>
      <c r="FP1" s="1137"/>
      <c r="FQ1" s="1137"/>
      <c r="FR1" s="1137"/>
      <c r="FS1" s="1137"/>
      <c r="FT1" s="1137"/>
      <c r="FU1" s="1137"/>
      <c r="FV1" s="1137"/>
      <c r="FW1" s="1137"/>
      <c r="FX1" s="1137"/>
      <c r="FY1" s="1137"/>
      <c r="FZ1" s="1137"/>
      <c r="GA1" s="1137"/>
      <c r="GB1" s="1137"/>
      <c r="GC1" s="1137"/>
      <c r="GD1" s="1137"/>
      <c r="GE1" s="1137"/>
      <c r="GF1" s="1137"/>
      <c r="GG1" s="1137"/>
      <c r="GH1" s="1137"/>
      <c r="GI1" s="1137"/>
      <c r="GJ1" s="1137"/>
      <c r="GK1" s="1137"/>
      <c r="GL1" s="1137"/>
      <c r="GM1" s="1137"/>
      <c r="GN1" s="1137"/>
      <c r="GO1" s="1137"/>
      <c r="GP1" s="1137"/>
      <c r="GQ1" s="1137"/>
      <c r="GR1" s="1137"/>
      <c r="GS1" s="1137"/>
      <c r="GT1" s="1137"/>
      <c r="GU1" s="1137"/>
      <c r="GV1" s="1137"/>
      <c r="GW1" s="1137"/>
      <c r="GX1" s="1137"/>
      <c r="GY1" s="1137"/>
      <c r="GZ1" s="1137"/>
      <c r="HA1" s="1137"/>
      <c r="HB1" s="1137"/>
      <c r="HC1" s="1137"/>
      <c r="HD1" s="1137"/>
      <c r="HE1" s="1137"/>
      <c r="HF1" s="1137"/>
      <c r="HG1" s="1137"/>
      <c r="HH1" s="1137"/>
      <c r="HI1" s="1137"/>
      <c r="HJ1" s="1137"/>
      <c r="HK1" s="1137"/>
      <c r="HL1" s="1137"/>
      <c r="HM1" s="1137"/>
      <c r="HN1" s="1137"/>
      <c r="HO1" s="1137"/>
      <c r="HP1" s="1137"/>
      <c r="HQ1" s="1137"/>
      <c r="HR1" s="1137"/>
      <c r="HS1" s="1137"/>
      <c r="HT1" s="1137"/>
      <c r="HU1" s="1137"/>
      <c r="HV1" s="1137"/>
      <c r="HW1" s="1137"/>
      <c r="HX1" s="1137"/>
      <c r="HY1" s="1137"/>
      <c r="HZ1" s="1137"/>
      <c r="IA1" s="1137"/>
      <c r="IB1" s="1137"/>
      <c r="IC1" s="1137"/>
      <c r="ID1" s="1137"/>
      <c r="IE1" s="1137"/>
      <c r="IF1" s="1137"/>
      <c r="IG1" s="1137"/>
      <c r="IH1" s="1137"/>
      <c r="II1" s="1137"/>
      <c r="IJ1" s="1137"/>
      <c r="IK1" s="1137"/>
      <c r="IL1" s="1137"/>
      <c r="IM1" s="1137"/>
      <c r="IN1" s="1137"/>
      <c r="IO1" s="1137"/>
      <c r="IP1" s="1137"/>
      <c r="IQ1" s="1137"/>
      <c r="IR1" s="1137"/>
      <c r="IS1" s="1137"/>
      <c r="IT1" s="1137"/>
    </row>
    <row r="2" spans="1:254" ht="16.5" thickBot="1">
      <c r="A2" s="1138" t="s">
        <v>670</v>
      </c>
      <c r="B2" s="1139"/>
      <c r="C2" s="1497" t="s">
        <v>1119</v>
      </c>
      <c r="D2" s="149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1137"/>
      <c r="W2" s="1137"/>
      <c r="X2" s="1137"/>
      <c r="Y2" s="1137"/>
      <c r="Z2" s="1137"/>
      <c r="AA2" s="1137"/>
      <c r="AB2" s="1137"/>
      <c r="AC2" s="1137"/>
      <c r="AD2" s="1137"/>
      <c r="AE2" s="1137"/>
      <c r="AF2" s="1137"/>
      <c r="AG2" s="1137"/>
      <c r="AH2" s="1137"/>
      <c r="AI2" s="1137"/>
      <c r="AJ2" s="1137"/>
      <c r="AK2" s="1137"/>
      <c r="AL2" s="1137"/>
      <c r="AM2" s="1137"/>
      <c r="AN2" s="1137"/>
      <c r="AO2" s="1137"/>
      <c r="AP2" s="1137"/>
      <c r="AQ2" s="1137"/>
      <c r="AR2" s="1137"/>
      <c r="AS2" s="1137"/>
      <c r="AT2" s="1137"/>
      <c r="AU2" s="1137"/>
      <c r="AV2" s="1137"/>
      <c r="AW2" s="1137"/>
      <c r="AX2" s="1137"/>
      <c r="AY2" s="1137"/>
      <c r="AZ2" s="1137"/>
      <c r="BA2" s="1137"/>
      <c r="BB2" s="1137"/>
      <c r="BC2" s="1137"/>
      <c r="BD2" s="1137"/>
      <c r="BE2" s="1137"/>
      <c r="BF2" s="1137"/>
      <c r="BG2" s="1137"/>
      <c r="BH2" s="1137"/>
      <c r="BI2" s="1137"/>
      <c r="BJ2" s="1137"/>
      <c r="BK2" s="1137"/>
      <c r="BL2" s="1137"/>
      <c r="BM2" s="1137"/>
      <c r="BN2" s="1137"/>
      <c r="BO2" s="1137"/>
      <c r="BP2" s="1137"/>
      <c r="BQ2" s="1137"/>
      <c r="BR2" s="1137"/>
      <c r="BS2" s="1137"/>
      <c r="BT2" s="1137"/>
      <c r="BU2" s="1137"/>
      <c r="BV2" s="1137"/>
      <c r="BW2" s="1137"/>
      <c r="BX2" s="1137"/>
      <c r="BY2" s="1137"/>
      <c r="BZ2" s="1137"/>
      <c r="CA2" s="1137"/>
      <c r="CB2" s="1137"/>
      <c r="CC2" s="1137"/>
      <c r="CD2" s="1137"/>
      <c r="CE2" s="1137"/>
      <c r="CF2" s="1137"/>
      <c r="CG2" s="1137"/>
      <c r="CH2" s="1137"/>
      <c r="CI2" s="1137"/>
      <c r="CJ2" s="1137"/>
      <c r="CK2" s="1137"/>
      <c r="CL2" s="1137"/>
      <c r="CM2" s="1137"/>
      <c r="CN2" s="1137"/>
      <c r="CO2" s="1137"/>
      <c r="CP2" s="1137"/>
      <c r="CQ2" s="1137"/>
      <c r="CR2" s="1137"/>
      <c r="CS2" s="1137"/>
      <c r="CT2" s="1137"/>
      <c r="CU2" s="1137"/>
      <c r="CV2" s="1137"/>
      <c r="CW2" s="1137"/>
      <c r="CX2" s="1137"/>
      <c r="CY2" s="1137"/>
      <c r="CZ2" s="1137"/>
      <c r="DA2" s="1137"/>
      <c r="DB2" s="1137"/>
      <c r="DC2" s="1137"/>
      <c r="DD2" s="1137"/>
      <c r="DE2" s="1137"/>
      <c r="DF2" s="1137"/>
      <c r="DG2" s="1137"/>
      <c r="DH2" s="1137"/>
      <c r="DI2" s="1137"/>
      <c r="DJ2" s="1137"/>
      <c r="DK2" s="1137"/>
      <c r="DL2" s="1137"/>
      <c r="DM2" s="1137"/>
      <c r="DN2" s="1137"/>
      <c r="DO2" s="1137"/>
      <c r="DP2" s="1137"/>
      <c r="DQ2" s="1137"/>
      <c r="DR2" s="1137"/>
      <c r="DS2" s="1137"/>
      <c r="DT2" s="1137"/>
      <c r="DU2" s="1137"/>
      <c r="DV2" s="1137"/>
      <c r="DW2" s="1137"/>
      <c r="DX2" s="1137"/>
      <c r="DY2" s="1137"/>
      <c r="DZ2" s="1137"/>
      <c r="EA2" s="1137"/>
      <c r="EB2" s="1137"/>
      <c r="EC2" s="1137"/>
      <c r="ED2" s="1137"/>
      <c r="EE2" s="1137"/>
      <c r="EF2" s="1137"/>
      <c r="EG2" s="1137"/>
      <c r="EH2" s="1137"/>
      <c r="EI2" s="1137"/>
      <c r="EJ2" s="1137"/>
      <c r="EK2" s="1137"/>
      <c r="EL2" s="1137"/>
      <c r="EM2" s="1137"/>
      <c r="EN2" s="1137"/>
      <c r="EO2" s="1137"/>
      <c r="EP2" s="1137"/>
      <c r="EQ2" s="1137"/>
      <c r="ER2" s="1137"/>
      <c r="ES2" s="1137"/>
      <c r="ET2" s="1137"/>
      <c r="EU2" s="1137"/>
      <c r="EV2" s="1137"/>
      <c r="EW2" s="1137"/>
      <c r="EX2" s="1137"/>
      <c r="EY2" s="1137"/>
      <c r="EZ2" s="1137"/>
      <c r="FA2" s="1137"/>
      <c r="FB2" s="1137"/>
      <c r="FC2" s="1137"/>
      <c r="FD2" s="1137"/>
      <c r="FE2" s="1137"/>
      <c r="FF2" s="1137"/>
      <c r="FG2" s="1137"/>
      <c r="FH2" s="1137"/>
      <c r="FI2" s="1137"/>
      <c r="FJ2" s="1137"/>
      <c r="FK2" s="1137"/>
      <c r="FL2" s="1137"/>
      <c r="FM2" s="1137"/>
      <c r="FN2" s="1137"/>
      <c r="FO2" s="1137"/>
      <c r="FP2" s="1137"/>
      <c r="FQ2" s="1137"/>
      <c r="FR2" s="1137"/>
      <c r="FS2" s="1137"/>
      <c r="FT2" s="1137"/>
      <c r="FU2" s="1137"/>
      <c r="FV2" s="1137"/>
      <c r="FW2" s="1137"/>
      <c r="FX2" s="1137"/>
      <c r="FY2" s="1137"/>
      <c r="FZ2" s="1137"/>
      <c r="GA2" s="1137"/>
      <c r="GB2" s="1137"/>
      <c r="GC2" s="1137"/>
      <c r="GD2" s="1137"/>
      <c r="GE2" s="1137"/>
      <c r="GF2" s="1137"/>
      <c r="GG2" s="1137"/>
      <c r="GH2" s="1137"/>
      <c r="GI2" s="1137"/>
      <c r="GJ2" s="1137"/>
      <c r="GK2" s="1137"/>
      <c r="GL2" s="1137"/>
      <c r="GM2" s="1137"/>
      <c r="GN2" s="1137"/>
      <c r="GO2" s="1137"/>
      <c r="GP2" s="1137"/>
      <c r="GQ2" s="1137"/>
      <c r="GR2" s="1137"/>
      <c r="GS2" s="1137"/>
      <c r="GT2" s="1137"/>
      <c r="GU2" s="1137"/>
      <c r="GV2" s="1137"/>
      <c r="GW2" s="1137"/>
      <c r="GX2" s="1137"/>
      <c r="GY2" s="1137"/>
      <c r="GZ2" s="1137"/>
      <c r="HA2" s="1137"/>
      <c r="HB2" s="1137"/>
      <c r="HC2" s="1137"/>
      <c r="HD2" s="1137"/>
      <c r="HE2" s="1137"/>
      <c r="HF2" s="1137"/>
      <c r="HG2" s="1137"/>
      <c r="HH2" s="1137"/>
      <c r="HI2" s="1137"/>
      <c r="HJ2" s="1137"/>
      <c r="HK2" s="1137"/>
      <c r="HL2" s="1137"/>
      <c r="HM2" s="1137"/>
      <c r="HN2" s="1137"/>
      <c r="HO2" s="1137"/>
      <c r="HP2" s="1137"/>
      <c r="HQ2" s="1137"/>
      <c r="HR2" s="1137"/>
      <c r="HS2" s="1137"/>
      <c r="HT2" s="1137"/>
      <c r="HU2" s="1137"/>
      <c r="HV2" s="1137"/>
      <c r="HW2" s="1137"/>
      <c r="HX2" s="1137"/>
      <c r="HY2" s="1137"/>
      <c r="HZ2" s="1137"/>
      <c r="IA2" s="1137"/>
      <c r="IB2" s="1137"/>
      <c r="IC2" s="1137"/>
      <c r="ID2" s="1137"/>
      <c r="IE2" s="1137"/>
      <c r="IF2" s="1137"/>
      <c r="IG2" s="1137"/>
      <c r="IH2" s="1137"/>
      <c r="II2" s="1137"/>
      <c r="IJ2" s="1137"/>
      <c r="IK2" s="1137"/>
      <c r="IL2" s="1137"/>
      <c r="IM2" s="1137"/>
      <c r="IN2" s="1137"/>
      <c r="IO2" s="1137"/>
      <c r="IP2" s="1137"/>
      <c r="IQ2" s="1137"/>
      <c r="IR2" s="1137"/>
      <c r="IS2" s="1137"/>
      <c r="IT2" s="1137"/>
    </row>
    <row r="3" spans="1:254" ht="15.75" customHeight="1" thickBot="1">
      <c r="A3" s="1498" t="s">
        <v>672</v>
      </c>
      <c r="B3" s="1499" t="s">
        <v>6</v>
      </c>
      <c r="C3" s="1500" t="s">
        <v>673</v>
      </c>
      <c r="D3" s="1500" t="s">
        <v>674</v>
      </c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7"/>
      <c r="AJ3" s="1137"/>
      <c r="AK3" s="1137"/>
      <c r="AL3" s="1137"/>
      <c r="AM3" s="1137"/>
      <c r="AN3" s="1137"/>
      <c r="AO3" s="1137"/>
      <c r="AP3" s="1137"/>
      <c r="AQ3" s="1137"/>
      <c r="AR3" s="1137"/>
      <c r="AS3" s="1137"/>
      <c r="AT3" s="1137"/>
      <c r="AU3" s="1137"/>
      <c r="AV3" s="1137"/>
      <c r="AW3" s="1137"/>
      <c r="AX3" s="1137"/>
      <c r="AY3" s="1137"/>
      <c r="AZ3" s="1137"/>
      <c r="BA3" s="1137"/>
      <c r="BB3" s="1137"/>
      <c r="BC3" s="1137"/>
      <c r="BD3" s="1137"/>
      <c r="BE3" s="1137"/>
      <c r="BF3" s="1137"/>
      <c r="BG3" s="1137"/>
      <c r="BH3" s="1137"/>
      <c r="BI3" s="1137"/>
      <c r="BJ3" s="1137"/>
      <c r="BK3" s="1137"/>
      <c r="BL3" s="1137"/>
      <c r="BM3" s="1137"/>
      <c r="BN3" s="1137"/>
      <c r="BO3" s="1137"/>
      <c r="BP3" s="1137"/>
      <c r="BQ3" s="1137"/>
      <c r="BR3" s="1137"/>
      <c r="BS3" s="1137"/>
      <c r="BT3" s="1137"/>
      <c r="BU3" s="1137"/>
      <c r="BV3" s="1137"/>
      <c r="BW3" s="1137"/>
      <c r="BX3" s="1137"/>
      <c r="BY3" s="1137"/>
      <c r="BZ3" s="1137"/>
      <c r="CA3" s="1137"/>
      <c r="CB3" s="1137"/>
      <c r="CC3" s="1137"/>
      <c r="CD3" s="1137"/>
      <c r="CE3" s="1137"/>
      <c r="CF3" s="1137"/>
      <c r="CG3" s="1137"/>
      <c r="CH3" s="1137"/>
      <c r="CI3" s="1137"/>
      <c r="CJ3" s="1137"/>
      <c r="CK3" s="1137"/>
      <c r="CL3" s="1137"/>
      <c r="CM3" s="1137"/>
      <c r="CN3" s="1137"/>
      <c r="CO3" s="1137"/>
      <c r="CP3" s="1137"/>
      <c r="CQ3" s="1137"/>
      <c r="CR3" s="1137"/>
      <c r="CS3" s="1137"/>
      <c r="CT3" s="1137"/>
      <c r="CU3" s="1137"/>
      <c r="CV3" s="1137"/>
      <c r="CW3" s="1137"/>
      <c r="CX3" s="1137"/>
      <c r="CY3" s="1137"/>
      <c r="CZ3" s="1137"/>
      <c r="DA3" s="1137"/>
      <c r="DB3" s="1137"/>
      <c r="DC3" s="1137"/>
      <c r="DD3" s="1137"/>
      <c r="DE3" s="1137"/>
      <c r="DF3" s="1137"/>
      <c r="DG3" s="1137"/>
      <c r="DH3" s="1137"/>
      <c r="DI3" s="1137"/>
      <c r="DJ3" s="1137"/>
      <c r="DK3" s="1137"/>
      <c r="DL3" s="1137"/>
      <c r="DM3" s="1137"/>
      <c r="DN3" s="1137"/>
      <c r="DO3" s="1137"/>
      <c r="DP3" s="1137"/>
      <c r="DQ3" s="1137"/>
      <c r="DR3" s="1137"/>
      <c r="DS3" s="1137"/>
      <c r="DT3" s="1137"/>
      <c r="DU3" s="1137"/>
      <c r="DV3" s="1137"/>
      <c r="DW3" s="1137"/>
      <c r="DX3" s="1137"/>
      <c r="DY3" s="1137"/>
      <c r="DZ3" s="1137"/>
      <c r="EA3" s="1137"/>
      <c r="EB3" s="1137"/>
      <c r="EC3" s="1137"/>
      <c r="ED3" s="1137"/>
      <c r="EE3" s="1137"/>
      <c r="EF3" s="1137"/>
      <c r="EG3" s="1137"/>
      <c r="EH3" s="1137"/>
      <c r="EI3" s="1137"/>
      <c r="EJ3" s="1137"/>
      <c r="EK3" s="1137"/>
      <c r="EL3" s="1137"/>
      <c r="EM3" s="1137"/>
      <c r="EN3" s="1137"/>
      <c r="EO3" s="1137"/>
      <c r="EP3" s="1137"/>
      <c r="EQ3" s="1137"/>
      <c r="ER3" s="1137"/>
      <c r="ES3" s="1137"/>
      <c r="ET3" s="1137"/>
      <c r="EU3" s="1137"/>
      <c r="EV3" s="1137"/>
      <c r="EW3" s="1137"/>
      <c r="EX3" s="1137"/>
      <c r="EY3" s="1137"/>
      <c r="EZ3" s="1137"/>
      <c r="FA3" s="1137"/>
      <c r="FB3" s="1137"/>
      <c r="FC3" s="1137"/>
      <c r="FD3" s="1137"/>
      <c r="FE3" s="1137"/>
      <c r="FF3" s="1137"/>
      <c r="FG3" s="1137"/>
      <c r="FH3" s="1137"/>
      <c r="FI3" s="1137"/>
      <c r="FJ3" s="1137"/>
      <c r="FK3" s="1137"/>
      <c r="FL3" s="1137"/>
      <c r="FM3" s="1137"/>
      <c r="FN3" s="1137"/>
      <c r="FO3" s="1137"/>
      <c r="FP3" s="1137"/>
      <c r="FQ3" s="1137"/>
      <c r="FR3" s="1137"/>
      <c r="FS3" s="1137"/>
      <c r="FT3" s="1137"/>
      <c r="FU3" s="1137"/>
      <c r="FV3" s="1137"/>
      <c r="FW3" s="1137"/>
      <c r="FX3" s="1137"/>
      <c r="FY3" s="1137"/>
      <c r="FZ3" s="1137"/>
      <c r="GA3" s="1137"/>
      <c r="GB3" s="1137"/>
      <c r="GC3" s="1137"/>
      <c r="GD3" s="1137"/>
      <c r="GE3" s="1137"/>
      <c r="GF3" s="1137"/>
      <c r="GG3" s="1137"/>
      <c r="GH3" s="1137"/>
      <c r="GI3" s="1137"/>
      <c r="GJ3" s="1137"/>
      <c r="GK3" s="1137"/>
      <c r="GL3" s="1137"/>
      <c r="GM3" s="1137"/>
      <c r="GN3" s="1137"/>
      <c r="GO3" s="1137"/>
      <c r="GP3" s="1137"/>
      <c r="GQ3" s="1137"/>
      <c r="GR3" s="1137"/>
      <c r="GS3" s="1137"/>
      <c r="GT3" s="1137"/>
      <c r="GU3" s="1137"/>
      <c r="GV3" s="1137"/>
      <c r="GW3" s="1137"/>
      <c r="GX3" s="1137"/>
      <c r="GY3" s="1137"/>
      <c r="GZ3" s="1137"/>
      <c r="HA3" s="1137"/>
      <c r="HB3" s="1137"/>
      <c r="HC3" s="1137"/>
      <c r="HD3" s="1137"/>
      <c r="HE3" s="1137"/>
      <c r="HF3" s="1137"/>
      <c r="HG3" s="1137"/>
      <c r="HH3" s="1137"/>
      <c r="HI3" s="1137"/>
      <c r="HJ3" s="1137"/>
      <c r="HK3" s="1137"/>
      <c r="HL3" s="1137"/>
      <c r="HM3" s="1137"/>
      <c r="HN3" s="1137"/>
      <c r="HO3" s="1137"/>
      <c r="HP3" s="1137"/>
      <c r="HQ3" s="1137"/>
      <c r="HR3" s="1137"/>
      <c r="HS3" s="1137"/>
      <c r="HT3" s="1137"/>
      <c r="HU3" s="1137"/>
      <c r="HV3" s="1137"/>
      <c r="HW3" s="1137"/>
      <c r="HX3" s="1137"/>
      <c r="HY3" s="1137"/>
      <c r="HZ3" s="1137"/>
      <c r="IA3" s="1137"/>
      <c r="IB3" s="1137"/>
      <c r="IC3" s="1137"/>
      <c r="ID3" s="1137"/>
      <c r="IE3" s="1137"/>
      <c r="IF3" s="1137"/>
      <c r="IG3" s="1137"/>
      <c r="IH3" s="1137"/>
      <c r="II3" s="1137"/>
      <c r="IJ3" s="1137"/>
      <c r="IK3" s="1137"/>
      <c r="IL3" s="1137"/>
      <c r="IM3" s="1137"/>
      <c r="IN3" s="1137"/>
      <c r="IO3" s="1137"/>
      <c r="IP3" s="1137"/>
      <c r="IQ3" s="1137"/>
      <c r="IR3" s="1137"/>
      <c r="IS3" s="1137"/>
      <c r="IT3" s="1137"/>
    </row>
    <row r="4" spans="1:254" ht="11.25" customHeight="1" thickBot="1">
      <c r="A4" s="1498"/>
      <c r="B4" s="1499"/>
      <c r="C4" s="1500"/>
      <c r="D4" s="1500"/>
      <c r="E4" s="1137"/>
      <c r="F4" s="1137"/>
      <c r="G4" s="1137"/>
      <c r="H4" s="1137"/>
      <c r="I4" s="1137"/>
      <c r="J4" s="1137"/>
      <c r="K4" s="1137"/>
      <c r="L4" s="1137"/>
      <c r="M4" s="1137"/>
      <c r="N4" s="1137"/>
      <c r="O4" s="1137"/>
      <c r="P4" s="1137"/>
      <c r="Q4" s="1137"/>
      <c r="R4" s="1137"/>
      <c r="S4" s="1137"/>
      <c r="T4" s="1137"/>
      <c r="U4" s="1137"/>
      <c r="V4" s="1137"/>
      <c r="W4" s="1137"/>
      <c r="X4" s="1137"/>
      <c r="Y4" s="1137"/>
      <c r="Z4" s="1137"/>
      <c r="AA4" s="1137"/>
      <c r="AB4" s="1137"/>
      <c r="AC4" s="1137"/>
      <c r="AD4" s="1137"/>
      <c r="AE4" s="1137"/>
      <c r="AF4" s="1137"/>
      <c r="AG4" s="1137"/>
      <c r="AH4" s="1137"/>
      <c r="AI4" s="1137"/>
      <c r="AJ4" s="1137"/>
      <c r="AK4" s="1137"/>
      <c r="AL4" s="1137"/>
      <c r="AM4" s="1137"/>
      <c r="AN4" s="1137"/>
      <c r="AO4" s="1137"/>
      <c r="AP4" s="1137"/>
      <c r="AQ4" s="1137"/>
      <c r="AR4" s="1137"/>
      <c r="AS4" s="1137"/>
      <c r="AT4" s="1137"/>
      <c r="AU4" s="1137"/>
      <c r="AV4" s="1137"/>
      <c r="AW4" s="1137"/>
      <c r="AX4" s="1137"/>
      <c r="AY4" s="1137"/>
      <c r="AZ4" s="1137"/>
      <c r="BA4" s="1137"/>
      <c r="BB4" s="1137"/>
      <c r="BC4" s="1137"/>
      <c r="BD4" s="1137"/>
      <c r="BE4" s="1137"/>
      <c r="BF4" s="1137"/>
      <c r="BG4" s="1137"/>
      <c r="BH4" s="1137"/>
      <c r="BI4" s="1137"/>
      <c r="BJ4" s="1137"/>
      <c r="BK4" s="1137"/>
      <c r="BL4" s="1137"/>
      <c r="BM4" s="1137"/>
      <c r="BN4" s="1137"/>
      <c r="BO4" s="1137"/>
      <c r="BP4" s="1137"/>
      <c r="BQ4" s="1137"/>
      <c r="BR4" s="1137"/>
      <c r="BS4" s="1137"/>
      <c r="BT4" s="1137"/>
      <c r="BU4" s="1137"/>
      <c r="BV4" s="1137"/>
      <c r="BW4" s="1137"/>
      <c r="BX4" s="1137"/>
      <c r="BY4" s="1137"/>
      <c r="BZ4" s="1137"/>
      <c r="CA4" s="1137"/>
      <c r="CB4" s="1137"/>
      <c r="CC4" s="1137"/>
      <c r="CD4" s="1137"/>
      <c r="CE4" s="1137"/>
      <c r="CF4" s="1137"/>
      <c r="CG4" s="1137"/>
      <c r="CH4" s="1137"/>
      <c r="CI4" s="1137"/>
      <c r="CJ4" s="1137"/>
      <c r="CK4" s="1137"/>
      <c r="CL4" s="1137"/>
      <c r="CM4" s="1137"/>
      <c r="CN4" s="1137"/>
      <c r="CO4" s="1137"/>
      <c r="CP4" s="1137"/>
      <c r="CQ4" s="1137"/>
      <c r="CR4" s="1137"/>
      <c r="CS4" s="1137"/>
      <c r="CT4" s="1137"/>
      <c r="CU4" s="1137"/>
      <c r="CV4" s="1137"/>
      <c r="CW4" s="1137"/>
      <c r="CX4" s="1137"/>
      <c r="CY4" s="1137"/>
      <c r="CZ4" s="1137"/>
      <c r="DA4" s="1137"/>
      <c r="DB4" s="1137"/>
      <c r="DC4" s="1137"/>
      <c r="DD4" s="1137"/>
      <c r="DE4" s="1137"/>
      <c r="DF4" s="1137"/>
      <c r="DG4" s="1137"/>
      <c r="DH4" s="1137"/>
      <c r="DI4" s="1137"/>
      <c r="DJ4" s="1137"/>
      <c r="DK4" s="1137"/>
      <c r="DL4" s="1137"/>
      <c r="DM4" s="1137"/>
      <c r="DN4" s="1137"/>
      <c r="DO4" s="1137"/>
      <c r="DP4" s="1137"/>
      <c r="DQ4" s="1137"/>
      <c r="DR4" s="1137"/>
      <c r="DS4" s="1137"/>
      <c r="DT4" s="1137"/>
      <c r="DU4" s="1137"/>
      <c r="DV4" s="1137"/>
      <c r="DW4" s="1137"/>
      <c r="DX4" s="1137"/>
      <c r="DY4" s="1137"/>
      <c r="DZ4" s="1137"/>
      <c r="EA4" s="1137"/>
      <c r="EB4" s="1137"/>
      <c r="EC4" s="1137"/>
      <c r="ED4" s="1137"/>
      <c r="EE4" s="1137"/>
      <c r="EF4" s="1137"/>
      <c r="EG4" s="1137"/>
      <c r="EH4" s="1137"/>
      <c r="EI4" s="1137"/>
      <c r="EJ4" s="1137"/>
      <c r="EK4" s="1137"/>
      <c r="EL4" s="1137"/>
      <c r="EM4" s="1137"/>
      <c r="EN4" s="1137"/>
      <c r="EO4" s="1137"/>
      <c r="EP4" s="1137"/>
      <c r="EQ4" s="1137"/>
      <c r="ER4" s="1137"/>
      <c r="ES4" s="1137"/>
      <c r="ET4" s="1137"/>
      <c r="EU4" s="1137"/>
      <c r="EV4" s="1137"/>
      <c r="EW4" s="1137"/>
      <c r="EX4" s="1137"/>
      <c r="EY4" s="1137"/>
      <c r="EZ4" s="1137"/>
      <c r="FA4" s="1137"/>
      <c r="FB4" s="1137"/>
      <c r="FC4" s="1137"/>
      <c r="FD4" s="1137"/>
      <c r="FE4" s="1137"/>
      <c r="FF4" s="1137"/>
      <c r="FG4" s="1137"/>
      <c r="FH4" s="1137"/>
      <c r="FI4" s="1137"/>
      <c r="FJ4" s="1137"/>
      <c r="FK4" s="1137"/>
      <c r="FL4" s="1137"/>
      <c r="FM4" s="1137"/>
      <c r="FN4" s="1137"/>
      <c r="FO4" s="1137"/>
      <c r="FP4" s="1137"/>
      <c r="FQ4" s="1137"/>
      <c r="FR4" s="1137"/>
      <c r="FS4" s="1137"/>
      <c r="FT4" s="1137"/>
      <c r="FU4" s="1137"/>
      <c r="FV4" s="1137"/>
      <c r="FW4" s="1137"/>
      <c r="FX4" s="1137"/>
      <c r="FY4" s="1137"/>
      <c r="FZ4" s="1137"/>
      <c r="GA4" s="1137"/>
      <c r="GB4" s="1137"/>
      <c r="GC4" s="1137"/>
      <c r="GD4" s="1137"/>
      <c r="GE4" s="1137"/>
      <c r="GF4" s="1137"/>
      <c r="GG4" s="1137"/>
      <c r="GH4" s="1137"/>
      <c r="GI4" s="1137"/>
      <c r="GJ4" s="1137"/>
      <c r="GK4" s="1137"/>
      <c r="GL4" s="1137"/>
      <c r="GM4" s="1137"/>
      <c r="GN4" s="1137"/>
      <c r="GO4" s="1137"/>
      <c r="GP4" s="1137"/>
      <c r="GQ4" s="1137"/>
      <c r="GR4" s="1137"/>
      <c r="GS4" s="1137"/>
      <c r="GT4" s="1137"/>
      <c r="GU4" s="1137"/>
      <c r="GV4" s="1137"/>
      <c r="GW4" s="1137"/>
      <c r="GX4" s="1137"/>
      <c r="GY4" s="1137"/>
      <c r="GZ4" s="1137"/>
      <c r="HA4" s="1137"/>
      <c r="HB4" s="1137"/>
      <c r="HC4" s="1137"/>
      <c r="HD4" s="1137"/>
      <c r="HE4" s="1137"/>
      <c r="HF4" s="1137"/>
      <c r="HG4" s="1137"/>
      <c r="HH4" s="1137"/>
      <c r="HI4" s="1137"/>
      <c r="HJ4" s="1137"/>
      <c r="HK4" s="1137"/>
      <c r="HL4" s="1137"/>
      <c r="HM4" s="1137"/>
      <c r="HN4" s="1137"/>
      <c r="HO4" s="1137"/>
      <c r="HP4" s="1137"/>
      <c r="HQ4" s="1137"/>
      <c r="HR4" s="1137"/>
      <c r="HS4" s="1137"/>
      <c r="HT4" s="1137"/>
      <c r="HU4" s="1137"/>
      <c r="HV4" s="1137"/>
      <c r="HW4" s="1137"/>
      <c r="HX4" s="1137"/>
      <c r="HY4" s="1137"/>
      <c r="HZ4" s="1137"/>
      <c r="IA4" s="1137"/>
      <c r="IB4" s="1137"/>
      <c r="IC4" s="1137"/>
      <c r="ID4" s="1137"/>
      <c r="IE4" s="1137"/>
      <c r="IF4" s="1137"/>
      <c r="IG4" s="1137"/>
      <c r="IH4" s="1137"/>
      <c r="II4" s="1137"/>
      <c r="IJ4" s="1137"/>
      <c r="IK4" s="1137"/>
      <c r="IL4" s="1137"/>
      <c r="IM4" s="1137"/>
      <c r="IN4" s="1137"/>
      <c r="IO4" s="1137"/>
      <c r="IP4" s="1137"/>
      <c r="IQ4" s="1137"/>
      <c r="IR4" s="1137"/>
      <c r="IS4" s="1137"/>
      <c r="IT4" s="1137"/>
    </row>
    <row r="5" spans="1:254" ht="12.75" customHeight="1">
      <c r="A5" s="1498"/>
      <c r="B5" s="1499"/>
      <c r="C5" s="1501" t="s">
        <v>675</v>
      </c>
      <c r="D5" s="1501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7"/>
      <c r="AD5" s="1137"/>
      <c r="AE5" s="1137"/>
      <c r="AF5" s="1137"/>
      <c r="AG5" s="1137"/>
      <c r="AH5" s="1137"/>
      <c r="AI5" s="1137"/>
      <c r="AJ5" s="1137"/>
      <c r="AK5" s="1137"/>
      <c r="AL5" s="1137"/>
      <c r="AM5" s="1137"/>
      <c r="AN5" s="1137"/>
      <c r="AO5" s="1137"/>
      <c r="AP5" s="1137"/>
      <c r="AQ5" s="1137"/>
      <c r="AR5" s="1137"/>
      <c r="AS5" s="1137"/>
      <c r="AT5" s="1137"/>
      <c r="AU5" s="1137"/>
      <c r="AV5" s="1137"/>
      <c r="AW5" s="1137"/>
      <c r="AX5" s="1137"/>
      <c r="AY5" s="1137"/>
      <c r="AZ5" s="1137"/>
      <c r="BA5" s="1137"/>
      <c r="BB5" s="1137"/>
      <c r="BC5" s="1137"/>
      <c r="BD5" s="1137"/>
      <c r="BE5" s="1137"/>
      <c r="BF5" s="1137"/>
      <c r="BG5" s="1137"/>
      <c r="BH5" s="1137"/>
      <c r="BI5" s="1137"/>
      <c r="BJ5" s="1137"/>
      <c r="BK5" s="1137"/>
      <c r="BL5" s="1137"/>
      <c r="BM5" s="1137"/>
      <c r="BN5" s="1137"/>
      <c r="BO5" s="1137"/>
      <c r="BP5" s="1137"/>
      <c r="BQ5" s="1137"/>
      <c r="BR5" s="1137"/>
      <c r="BS5" s="1137"/>
      <c r="BT5" s="1137"/>
      <c r="BU5" s="1137"/>
      <c r="BV5" s="1137"/>
      <c r="BW5" s="1137"/>
      <c r="BX5" s="1137"/>
      <c r="BY5" s="1137"/>
      <c r="BZ5" s="1137"/>
      <c r="CA5" s="1137"/>
      <c r="CB5" s="1137"/>
      <c r="CC5" s="1137"/>
      <c r="CD5" s="1137"/>
      <c r="CE5" s="1137"/>
      <c r="CF5" s="1137"/>
      <c r="CG5" s="1137"/>
      <c r="CH5" s="1137"/>
      <c r="CI5" s="1137"/>
      <c r="CJ5" s="1137"/>
      <c r="CK5" s="1137"/>
      <c r="CL5" s="1137"/>
      <c r="CM5" s="1137"/>
      <c r="CN5" s="1137"/>
      <c r="CO5" s="1137"/>
      <c r="CP5" s="1137"/>
      <c r="CQ5" s="1137"/>
      <c r="CR5" s="1137"/>
      <c r="CS5" s="1137"/>
      <c r="CT5" s="1137"/>
      <c r="CU5" s="1137"/>
      <c r="CV5" s="1137"/>
      <c r="CW5" s="1137"/>
      <c r="CX5" s="1137"/>
      <c r="CY5" s="1137"/>
      <c r="CZ5" s="1137"/>
      <c r="DA5" s="1137"/>
      <c r="DB5" s="1137"/>
      <c r="DC5" s="1137"/>
      <c r="DD5" s="1137"/>
      <c r="DE5" s="1137"/>
      <c r="DF5" s="1137"/>
      <c r="DG5" s="1137"/>
      <c r="DH5" s="1137"/>
      <c r="DI5" s="1137"/>
      <c r="DJ5" s="1137"/>
      <c r="DK5" s="1137"/>
      <c r="DL5" s="1137"/>
      <c r="DM5" s="1137"/>
      <c r="DN5" s="1137"/>
      <c r="DO5" s="1137"/>
      <c r="DP5" s="1137"/>
      <c r="DQ5" s="1137"/>
      <c r="DR5" s="1137"/>
      <c r="DS5" s="1137"/>
      <c r="DT5" s="1137"/>
      <c r="DU5" s="1137"/>
      <c r="DV5" s="1137"/>
      <c r="DW5" s="1137"/>
      <c r="DX5" s="1137"/>
      <c r="DY5" s="1137"/>
      <c r="DZ5" s="1137"/>
      <c r="EA5" s="1137"/>
      <c r="EB5" s="1137"/>
      <c r="EC5" s="1137"/>
      <c r="ED5" s="1137"/>
      <c r="EE5" s="1137"/>
      <c r="EF5" s="1137"/>
      <c r="EG5" s="1137"/>
      <c r="EH5" s="1137"/>
      <c r="EI5" s="1137"/>
      <c r="EJ5" s="1137"/>
      <c r="EK5" s="1137"/>
      <c r="EL5" s="1137"/>
      <c r="EM5" s="1137"/>
      <c r="EN5" s="1137"/>
      <c r="EO5" s="1137"/>
      <c r="EP5" s="1137"/>
      <c r="EQ5" s="1137"/>
      <c r="ER5" s="1137"/>
      <c r="ES5" s="1137"/>
      <c r="ET5" s="1137"/>
      <c r="EU5" s="1137"/>
      <c r="EV5" s="1137"/>
      <c r="EW5" s="1137"/>
      <c r="EX5" s="1137"/>
      <c r="EY5" s="1137"/>
      <c r="EZ5" s="1137"/>
      <c r="FA5" s="1137"/>
      <c r="FB5" s="1137"/>
      <c r="FC5" s="1137"/>
      <c r="FD5" s="1137"/>
      <c r="FE5" s="1137"/>
      <c r="FF5" s="1137"/>
      <c r="FG5" s="1137"/>
      <c r="FH5" s="1137"/>
      <c r="FI5" s="1137"/>
      <c r="FJ5" s="1137"/>
      <c r="FK5" s="1137"/>
      <c r="FL5" s="1137"/>
      <c r="FM5" s="1137"/>
      <c r="FN5" s="1137"/>
      <c r="FO5" s="1137"/>
      <c r="FP5" s="1137"/>
      <c r="FQ5" s="1137"/>
      <c r="FR5" s="1137"/>
      <c r="FS5" s="1137"/>
      <c r="FT5" s="1137"/>
      <c r="FU5" s="1137"/>
      <c r="FV5" s="1137"/>
      <c r="FW5" s="1137"/>
      <c r="FX5" s="1137"/>
      <c r="FY5" s="1137"/>
      <c r="FZ5" s="1137"/>
      <c r="GA5" s="1137"/>
      <c r="GB5" s="1137"/>
      <c r="GC5" s="1137"/>
      <c r="GD5" s="1137"/>
      <c r="GE5" s="1137"/>
      <c r="GF5" s="1137"/>
      <c r="GG5" s="1137"/>
      <c r="GH5" s="1137"/>
      <c r="GI5" s="1137"/>
      <c r="GJ5" s="1137"/>
      <c r="GK5" s="1137"/>
      <c r="GL5" s="1137"/>
      <c r="GM5" s="1137"/>
      <c r="GN5" s="1137"/>
      <c r="GO5" s="1137"/>
      <c r="GP5" s="1137"/>
      <c r="GQ5" s="1137"/>
      <c r="GR5" s="1137"/>
      <c r="GS5" s="1137"/>
      <c r="GT5" s="1137"/>
      <c r="GU5" s="1137"/>
      <c r="GV5" s="1137"/>
      <c r="GW5" s="1137"/>
      <c r="GX5" s="1137"/>
      <c r="GY5" s="1137"/>
      <c r="GZ5" s="1137"/>
      <c r="HA5" s="1137"/>
      <c r="HB5" s="1137"/>
      <c r="HC5" s="1137"/>
      <c r="HD5" s="1137"/>
      <c r="HE5" s="1137"/>
      <c r="HF5" s="1137"/>
      <c r="HG5" s="1137"/>
      <c r="HH5" s="1137"/>
      <c r="HI5" s="1137"/>
      <c r="HJ5" s="1137"/>
      <c r="HK5" s="1137"/>
      <c r="HL5" s="1137"/>
      <c r="HM5" s="1137"/>
      <c r="HN5" s="1137"/>
      <c r="HO5" s="1137"/>
      <c r="HP5" s="1137"/>
      <c r="HQ5" s="1137"/>
      <c r="HR5" s="1137"/>
      <c r="HS5" s="1137"/>
      <c r="HT5" s="1137"/>
      <c r="HU5" s="1137"/>
      <c r="HV5" s="1137"/>
      <c r="HW5" s="1137"/>
      <c r="HX5" s="1137"/>
      <c r="HY5" s="1137"/>
      <c r="HZ5" s="1137"/>
      <c r="IA5" s="1137"/>
      <c r="IB5" s="1137"/>
      <c r="IC5" s="1137"/>
      <c r="ID5" s="1137"/>
      <c r="IE5" s="1137"/>
      <c r="IF5" s="1137"/>
      <c r="IG5" s="1137"/>
      <c r="IH5" s="1137"/>
      <c r="II5" s="1137"/>
      <c r="IJ5" s="1137"/>
      <c r="IK5" s="1137"/>
      <c r="IL5" s="1137"/>
      <c r="IM5" s="1137"/>
      <c r="IN5" s="1137"/>
      <c r="IO5" s="1137"/>
      <c r="IP5" s="1137"/>
      <c r="IQ5" s="1137"/>
      <c r="IR5" s="1137"/>
      <c r="IS5" s="1137"/>
      <c r="IT5" s="1137"/>
    </row>
    <row r="6" spans="1:4" s="1142" customFormat="1" ht="16.5" thickBot="1">
      <c r="A6" s="1140" t="s">
        <v>676</v>
      </c>
      <c r="B6" s="1141" t="s">
        <v>15</v>
      </c>
      <c r="C6" s="1141" t="s">
        <v>650</v>
      </c>
      <c r="D6" s="1141" t="s">
        <v>651</v>
      </c>
    </row>
    <row r="7" spans="1:4" s="1146" customFormat="1" ht="15.75">
      <c r="A7" s="1143" t="s">
        <v>677</v>
      </c>
      <c r="B7" s="1144" t="s">
        <v>678</v>
      </c>
      <c r="C7" s="1145">
        <f>SUM(C8:C11)</f>
        <v>23252845</v>
      </c>
      <c r="D7" s="1145">
        <v>0</v>
      </c>
    </row>
    <row r="8" spans="1:4" s="1146" customFormat="1" ht="15.75">
      <c r="A8" s="1147" t="s">
        <v>679</v>
      </c>
      <c r="B8" s="1148" t="s">
        <v>680</v>
      </c>
      <c r="C8" s="1149"/>
      <c r="D8" s="1149"/>
    </row>
    <row r="9" spans="1:4" s="1146" customFormat="1" ht="38.25">
      <c r="A9" s="1147" t="s">
        <v>681</v>
      </c>
      <c r="B9" s="1148" t="s">
        <v>682</v>
      </c>
      <c r="C9" s="1149"/>
      <c r="D9" s="1149"/>
    </row>
    <row r="10" spans="1:4" s="1146" customFormat="1" ht="15.75">
      <c r="A10" s="1147" t="s">
        <v>683</v>
      </c>
      <c r="B10" s="1148" t="s">
        <v>684</v>
      </c>
      <c r="C10" s="1149">
        <v>16890345</v>
      </c>
      <c r="D10" s="1149"/>
    </row>
    <row r="11" spans="1:4" s="1146" customFormat="1" ht="15.75">
      <c r="A11" s="1147" t="s">
        <v>685</v>
      </c>
      <c r="B11" s="1148" t="s">
        <v>686</v>
      </c>
      <c r="C11" s="1149">
        <v>6362500</v>
      </c>
      <c r="D11" s="1149"/>
    </row>
    <row r="12" spans="1:4" s="1146" customFormat="1" ht="15.75">
      <c r="A12" s="1150" t="s">
        <v>687</v>
      </c>
      <c r="B12" s="1151" t="s">
        <v>688</v>
      </c>
      <c r="C12" s="1152">
        <f>SUM(C13+C18+C23+C28+C33)</f>
        <v>1196924784</v>
      </c>
      <c r="D12" s="1152">
        <f>SUM(D13+D18+D23+D28+D33)</f>
        <v>724369457</v>
      </c>
    </row>
    <row r="13" spans="1:4" s="1146" customFormat="1" ht="15.75">
      <c r="A13" s="1150" t="s">
        <v>689</v>
      </c>
      <c r="B13" s="1151" t="s">
        <v>690</v>
      </c>
      <c r="C13" s="1152">
        <f>SUM(C14:C17)</f>
        <v>1127360442</v>
      </c>
      <c r="D13" s="1152">
        <f>SUM(D14:D17)</f>
        <v>695149611</v>
      </c>
    </row>
    <row r="14" spans="1:4" s="1146" customFormat="1" ht="15.75">
      <c r="A14" s="1147" t="s">
        <v>691</v>
      </c>
      <c r="B14" s="1148" t="s">
        <v>692</v>
      </c>
      <c r="C14" s="1149">
        <v>572171082</v>
      </c>
      <c r="D14" s="1149">
        <v>240559109</v>
      </c>
    </row>
    <row r="15" spans="1:4" s="1146" customFormat="1" ht="37.5" customHeight="1">
      <c r="A15" s="1147" t="s">
        <v>693</v>
      </c>
      <c r="B15" s="1148" t="s">
        <v>694</v>
      </c>
      <c r="C15" s="1149"/>
      <c r="D15" s="1149"/>
    </row>
    <row r="16" spans="1:4" s="1146" customFormat="1" ht="25.5">
      <c r="A16" s="1147" t="s">
        <v>695</v>
      </c>
      <c r="B16" s="1148" t="s">
        <v>436</v>
      </c>
      <c r="C16" s="1149">
        <v>430648887</v>
      </c>
      <c r="D16" s="1149">
        <v>338673302</v>
      </c>
    </row>
    <row r="17" spans="1:4" s="1146" customFormat="1" ht="15.75">
      <c r="A17" s="1147" t="s">
        <v>696</v>
      </c>
      <c r="B17" s="1148" t="s">
        <v>439</v>
      </c>
      <c r="C17" s="1149">
        <v>124540473</v>
      </c>
      <c r="D17" s="1149">
        <v>115917200</v>
      </c>
    </row>
    <row r="18" spans="1:4" s="1146" customFormat="1" ht="15.75">
      <c r="A18" s="1150" t="s">
        <v>697</v>
      </c>
      <c r="B18" s="1151" t="s">
        <v>440</v>
      </c>
      <c r="C18" s="1153">
        <f>SUM(C19:C22)</f>
        <v>42974327</v>
      </c>
      <c r="D18" s="1153">
        <f>SUM(D19:D22)</f>
        <v>2629831</v>
      </c>
    </row>
    <row r="19" spans="1:4" s="1146" customFormat="1" ht="15.75">
      <c r="A19" s="1147" t="s">
        <v>698</v>
      </c>
      <c r="B19" s="1148" t="s">
        <v>441</v>
      </c>
      <c r="C19" s="1149"/>
      <c r="D19" s="1149"/>
    </row>
    <row r="20" spans="1:4" s="1146" customFormat="1" ht="38.25">
      <c r="A20" s="1147" t="s">
        <v>699</v>
      </c>
      <c r="B20" s="1148" t="s">
        <v>442</v>
      </c>
      <c r="C20" s="1149"/>
      <c r="D20" s="1149"/>
    </row>
    <row r="21" spans="1:4" s="1146" customFormat="1" ht="25.5">
      <c r="A21" s="1147" t="s">
        <v>700</v>
      </c>
      <c r="B21" s="1148" t="s">
        <v>443</v>
      </c>
      <c r="C21" s="1149">
        <v>12194908</v>
      </c>
      <c r="D21" s="1149"/>
    </row>
    <row r="22" spans="1:4" s="1146" customFormat="1" ht="15.75">
      <c r="A22" s="1147" t="s">
        <v>701</v>
      </c>
      <c r="B22" s="1148" t="s">
        <v>702</v>
      </c>
      <c r="C22" s="1149">
        <v>30779419</v>
      </c>
      <c r="D22" s="1149">
        <v>2629831</v>
      </c>
    </row>
    <row r="23" spans="1:4" s="1146" customFormat="1" ht="15.75">
      <c r="A23" s="1150" t="s">
        <v>703</v>
      </c>
      <c r="B23" s="1151" t="s">
        <v>704</v>
      </c>
      <c r="C23" s="1154"/>
      <c r="D23" s="1154"/>
    </row>
    <row r="24" spans="1:4" s="1146" customFormat="1" ht="15.75">
      <c r="A24" s="1147" t="s">
        <v>705</v>
      </c>
      <c r="B24" s="1148" t="s">
        <v>706</v>
      </c>
      <c r="C24" s="1149"/>
      <c r="D24" s="1149"/>
    </row>
    <row r="25" spans="1:4" s="1146" customFormat="1" ht="15.75">
      <c r="A25" s="1147" t="s">
        <v>707</v>
      </c>
      <c r="B25" s="1148" t="s">
        <v>708</v>
      </c>
      <c r="C25" s="1149"/>
      <c r="D25" s="1149"/>
    </row>
    <row r="26" spans="1:4" s="1146" customFormat="1" ht="15.75">
      <c r="A26" s="1147" t="s">
        <v>709</v>
      </c>
      <c r="B26" s="1148" t="s">
        <v>710</v>
      </c>
      <c r="C26" s="1149"/>
      <c r="D26" s="1149"/>
    </row>
    <row r="27" spans="1:4" s="1146" customFormat="1" ht="15.75">
      <c r="A27" s="1147" t="s">
        <v>711</v>
      </c>
      <c r="B27" s="1148" t="s">
        <v>712</v>
      </c>
      <c r="C27" s="1149"/>
      <c r="D27" s="1149"/>
    </row>
    <row r="28" spans="1:4" s="1146" customFormat="1" ht="15.75">
      <c r="A28" s="1150" t="s">
        <v>713</v>
      </c>
      <c r="B28" s="1151" t="s">
        <v>714</v>
      </c>
      <c r="C28" s="1153">
        <f>SUM(C29:C32)</f>
        <v>26590015</v>
      </c>
      <c r="D28" s="1153">
        <f>SUM(D29:D32)</f>
        <v>26590015</v>
      </c>
    </row>
    <row r="29" spans="1:4" s="1146" customFormat="1" ht="15.75">
      <c r="A29" s="1147" t="s">
        <v>715</v>
      </c>
      <c r="B29" s="1148" t="s">
        <v>716</v>
      </c>
      <c r="C29" s="1149"/>
      <c r="D29" s="1149"/>
    </row>
    <row r="30" spans="1:4" s="1146" customFormat="1" ht="25.5">
      <c r="A30" s="1147" t="s">
        <v>717</v>
      </c>
      <c r="B30" s="1148" t="s">
        <v>718</v>
      </c>
      <c r="C30" s="1149"/>
      <c r="D30" s="1149"/>
    </row>
    <row r="31" spans="1:4" s="1146" customFormat="1" ht="15.75">
      <c r="A31" s="1147" t="s">
        <v>719</v>
      </c>
      <c r="B31" s="1148" t="s">
        <v>720</v>
      </c>
      <c r="C31" s="1149">
        <v>26590015</v>
      </c>
      <c r="D31" s="1149">
        <v>26590015</v>
      </c>
    </row>
    <row r="32" spans="1:4" s="1146" customFormat="1" ht="15.75">
      <c r="A32" s="1147" t="s">
        <v>721</v>
      </c>
      <c r="B32" s="1148" t="s">
        <v>722</v>
      </c>
      <c r="C32" s="1149"/>
      <c r="D32" s="1149"/>
    </row>
    <row r="33" spans="1:4" s="1146" customFormat="1" ht="15.75">
      <c r="A33" s="1150" t="s">
        <v>723</v>
      </c>
      <c r="B33" s="1151" t="s">
        <v>724</v>
      </c>
      <c r="C33" s="1154"/>
      <c r="D33" s="1154"/>
    </row>
    <row r="34" spans="1:4" s="1146" customFormat="1" ht="15.75">
      <c r="A34" s="1147" t="s">
        <v>725</v>
      </c>
      <c r="B34" s="1148" t="s">
        <v>726</v>
      </c>
      <c r="C34" s="1149"/>
      <c r="D34" s="1149"/>
    </row>
    <row r="35" spans="1:4" s="1146" customFormat="1" ht="25.5">
      <c r="A35" s="1147" t="s">
        <v>727</v>
      </c>
      <c r="B35" s="1148" t="s">
        <v>728</v>
      </c>
      <c r="C35" s="1149"/>
      <c r="D35" s="1149"/>
    </row>
    <row r="36" spans="1:4" s="1146" customFormat="1" ht="15.75">
      <c r="A36" s="1147" t="s">
        <v>729</v>
      </c>
      <c r="B36" s="1148" t="s">
        <v>730</v>
      </c>
      <c r="C36" s="1149"/>
      <c r="D36" s="1149"/>
    </row>
    <row r="37" spans="1:4" s="1146" customFormat="1" ht="15.75">
      <c r="A37" s="1147" t="s">
        <v>731</v>
      </c>
      <c r="B37" s="1148" t="s">
        <v>732</v>
      </c>
      <c r="C37" s="1149"/>
      <c r="D37" s="1149"/>
    </row>
    <row r="38" spans="1:4" s="1146" customFormat="1" ht="15.75">
      <c r="A38" s="1150" t="s">
        <v>733</v>
      </c>
      <c r="B38" s="1151" t="s">
        <v>734</v>
      </c>
      <c r="C38" s="1153">
        <f>SUM(C39+C44+C49)</f>
        <v>0</v>
      </c>
      <c r="D38" s="1153">
        <f>SUM(D39+D44+D49)</f>
        <v>11580000</v>
      </c>
    </row>
    <row r="39" spans="1:4" s="1146" customFormat="1" ht="15.75">
      <c r="A39" s="1150" t="s">
        <v>735</v>
      </c>
      <c r="B39" s="1151" t="s">
        <v>736</v>
      </c>
      <c r="C39" s="1153">
        <f>SUM(C40:C43)</f>
        <v>0</v>
      </c>
      <c r="D39" s="1153">
        <f>SUM(D40:D43)</f>
        <v>11580000</v>
      </c>
    </row>
    <row r="40" spans="1:4" s="1146" customFormat="1" ht="15.75">
      <c r="A40" s="1147" t="s">
        <v>737</v>
      </c>
      <c r="B40" s="1148" t="s">
        <v>738</v>
      </c>
      <c r="C40" s="1149"/>
      <c r="D40" s="1149"/>
    </row>
    <row r="41" spans="1:4" s="1146" customFormat="1" ht="25.5">
      <c r="A41" s="1147" t="s">
        <v>739</v>
      </c>
      <c r="B41" s="1148" t="s">
        <v>740</v>
      </c>
      <c r="C41" s="1149"/>
      <c r="D41" s="1149"/>
    </row>
    <row r="42" spans="1:4" s="1146" customFormat="1" ht="15.75">
      <c r="A42" s="1147" t="s">
        <v>741</v>
      </c>
      <c r="B42" s="1148" t="s">
        <v>742</v>
      </c>
      <c r="C42" s="1149"/>
      <c r="D42" s="1149">
        <v>11580000</v>
      </c>
    </row>
    <row r="43" spans="1:4" s="1146" customFormat="1" ht="15.75">
      <c r="A43" s="1147" t="s">
        <v>743</v>
      </c>
      <c r="B43" s="1148" t="s">
        <v>744</v>
      </c>
      <c r="C43" s="1149"/>
      <c r="D43" s="1149"/>
    </row>
    <row r="44" spans="1:4" s="1146" customFormat="1" ht="15.75">
      <c r="A44" s="1150" t="s">
        <v>745</v>
      </c>
      <c r="B44" s="1151" t="s">
        <v>746</v>
      </c>
      <c r="C44" s="1154"/>
      <c r="D44" s="1154"/>
    </row>
    <row r="45" spans="1:4" s="1146" customFormat="1" ht="15.75">
      <c r="A45" s="1147" t="s">
        <v>747</v>
      </c>
      <c r="B45" s="1148" t="s">
        <v>748</v>
      </c>
      <c r="C45" s="1149"/>
      <c r="D45" s="1149"/>
    </row>
    <row r="46" spans="1:4" s="1146" customFormat="1" ht="38.25">
      <c r="A46" s="1147" t="s">
        <v>749</v>
      </c>
      <c r="B46" s="1148" t="s">
        <v>750</v>
      </c>
      <c r="C46" s="1149"/>
      <c r="D46" s="1149"/>
    </row>
    <row r="47" spans="1:4" s="1146" customFormat="1" ht="25.5">
      <c r="A47" s="1147" t="s">
        <v>751</v>
      </c>
      <c r="B47" s="1148" t="s">
        <v>752</v>
      </c>
      <c r="C47" s="1149"/>
      <c r="D47" s="1149"/>
    </row>
    <row r="48" spans="1:4" s="1146" customFormat="1" ht="15.75">
      <c r="A48" s="1147" t="s">
        <v>753</v>
      </c>
      <c r="B48" s="1148" t="s">
        <v>754</v>
      </c>
      <c r="C48" s="1149"/>
      <c r="D48" s="1149"/>
    </row>
    <row r="49" spans="1:4" s="1146" customFormat="1" ht="15.75">
      <c r="A49" s="1150" t="s">
        <v>755</v>
      </c>
      <c r="B49" s="1151" t="s">
        <v>756</v>
      </c>
      <c r="C49" s="1154"/>
      <c r="D49" s="1154"/>
    </row>
    <row r="50" spans="1:4" s="1146" customFormat="1" ht="15.75">
      <c r="A50" s="1147" t="s">
        <v>757</v>
      </c>
      <c r="B50" s="1148" t="s">
        <v>758</v>
      </c>
      <c r="C50" s="1149"/>
      <c r="D50" s="1149"/>
    </row>
    <row r="51" spans="1:4" s="1146" customFormat="1" ht="36.75" customHeight="1">
      <c r="A51" s="1147" t="s">
        <v>759</v>
      </c>
      <c r="B51" s="1148" t="s">
        <v>760</v>
      </c>
      <c r="C51" s="1149"/>
      <c r="D51" s="1149"/>
    </row>
    <row r="52" spans="1:4" s="1146" customFormat="1" ht="25.5">
      <c r="A52" s="1147" t="s">
        <v>761</v>
      </c>
      <c r="B52" s="1148" t="s">
        <v>762</v>
      </c>
      <c r="C52" s="1149"/>
      <c r="D52" s="1149"/>
    </row>
    <row r="53" spans="1:4" s="1146" customFormat="1" ht="15.75">
      <c r="A53" s="1147" t="s">
        <v>763</v>
      </c>
      <c r="B53" s="1148" t="s">
        <v>764</v>
      </c>
      <c r="C53" s="1149"/>
      <c r="D53" s="1149"/>
    </row>
    <row r="54" spans="1:4" s="1146" customFormat="1" ht="15.75">
      <c r="A54" s="1150" t="s">
        <v>765</v>
      </c>
      <c r="B54" s="1148" t="s">
        <v>766</v>
      </c>
      <c r="C54" s="1149">
        <v>478733598</v>
      </c>
      <c r="D54" s="1149">
        <v>368719844</v>
      </c>
    </row>
    <row r="55" spans="1:4" ht="25.5">
      <c r="A55" s="1150" t="s">
        <v>767</v>
      </c>
      <c r="B55" s="1151" t="s">
        <v>768</v>
      </c>
      <c r="C55" s="1153">
        <f>SUM(C7+C12+C38+C54)</f>
        <v>1698911227</v>
      </c>
      <c r="D55" s="1153">
        <f>SUM(D7+D12+D38+D54)</f>
        <v>1104669301</v>
      </c>
    </row>
    <row r="56" spans="1:4" ht="15.75">
      <c r="A56" s="1150" t="s">
        <v>769</v>
      </c>
      <c r="B56" s="1148" t="s">
        <v>770</v>
      </c>
      <c r="C56" s="1155"/>
      <c r="D56" s="1155"/>
    </row>
    <row r="57" spans="1:4" ht="15.75">
      <c r="A57" s="1150" t="s">
        <v>771</v>
      </c>
      <c r="B57" s="1148" t="s">
        <v>772</v>
      </c>
      <c r="C57" s="1149">
        <v>28770000</v>
      </c>
      <c r="D57" s="1149">
        <v>28770000</v>
      </c>
    </row>
    <row r="58" spans="1:4" ht="15.75">
      <c r="A58" s="1150" t="s">
        <v>773</v>
      </c>
      <c r="B58" s="1151" t="s">
        <v>774</v>
      </c>
      <c r="C58" s="1153"/>
      <c r="D58" s="1153">
        <f>SUM(D56:D57)</f>
        <v>28770000</v>
      </c>
    </row>
    <row r="59" spans="1:4" ht="15.75">
      <c r="A59" s="1150" t="s">
        <v>775</v>
      </c>
      <c r="B59" s="1148" t="s">
        <v>776</v>
      </c>
      <c r="C59" s="1156"/>
      <c r="D59" s="1155"/>
    </row>
    <row r="60" spans="1:4" ht="15.75">
      <c r="A60" s="1150" t="s">
        <v>777</v>
      </c>
      <c r="B60" s="1148" t="s">
        <v>778</v>
      </c>
      <c r="C60" s="1156"/>
      <c r="D60" s="1155"/>
    </row>
    <row r="61" spans="1:4" ht="15.75">
      <c r="A61" s="1150" t="s">
        <v>779</v>
      </c>
      <c r="B61" s="1148" t="s">
        <v>780</v>
      </c>
      <c r="C61" s="1156"/>
      <c r="D61" s="1155">
        <v>114982607</v>
      </c>
    </row>
    <row r="62" spans="1:4" ht="15.75">
      <c r="A62" s="1150" t="s">
        <v>781</v>
      </c>
      <c r="B62" s="1148" t="s">
        <v>782</v>
      </c>
      <c r="C62" s="1156"/>
      <c r="D62" s="1155"/>
    </row>
    <row r="63" spans="1:4" ht="15.75">
      <c r="A63" s="1150" t="s">
        <v>783</v>
      </c>
      <c r="B63" s="1148" t="s">
        <v>784</v>
      </c>
      <c r="C63" s="1156"/>
      <c r="D63" s="1155"/>
    </row>
    <row r="64" spans="1:4" ht="15.75">
      <c r="A64" s="1150" t="s">
        <v>785</v>
      </c>
      <c r="B64" s="1151" t="s">
        <v>786</v>
      </c>
      <c r="C64" s="1157"/>
      <c r="D64" s="1153">
        <f>SUM(D59:D63)</f>
        <v>114982607</v>
      </c>
    </row>
    <row r="65" spans="1:4" ht="15.75">
      <c r="A65" s="1150" t="s">
        <v>787</v>
      </c>
      <c r="B65" s="1148" t="s">
        <v>788</v>
      </c>
      <c r="C65" s="1156"/>
      <c r="D65" s="1155">
        <v>9083810</v>
      </c>
    </row>
    <row r="66" spans="1:4" ht="15.75">
      <c r="A66" s="1150" t="s">
        <v>789</v>
      </c>
      <c r="B66" s="1148" t="s">
        <v>790</v>
      </c>
      <c r="C66" s="1156"/>
      <c r="D66" s="1155"/>
    </row>
    <row r="67" spans="1:4" ht="15.75">
      <c r="A67" s="1150" t="s">
        <v>791</v>
      </c>
      <c r="B67" s="1148" t="s">
        <v>792</v>
      </c>
      <c r="C67" s="1156"/>
      <c r="D67" s="1155">
        <v>67348351</v>
      </c>
    </row>
    <row r="68" spans="1:4" ht="15.75">
      <c r="A68" s="1150" t="s">
        <v>793</v>
      </c>
      <c r="B68" s="1151" t="s">
        <v>794</v>
      </c>
      <c r="C68" s="1157"/>
      <c r="D68" s="1153">
        <f>SUM(D65:D67)</f>
        <v>76432161</v>
      </c>
    </row>
    <row r="69" spans="1:4" ht="15.75">
      <c r="A69" s="1150" t="s">
        <v>795</v>
      </c>
      <c r="B69" s="1148" t="s">
        <v>796</v>
      </c>
      <c r="C69" s="1156"/>
      <c r="D69" s="1155"/>
    </row>
    <row r="70" spans="1:4" ht="25.5">
      <c r="A70" s="1150" t="s">
        <v>797</v>
      </c>
      <c r="B70" s="1148" t="s">
        <v>798</v>
      </c>
      <c r="C70" s="1156"/>
      <c r="D70" s="1155"/>
    </row>
    <row r="71" spans="1:4" ht="15.75">
      <c r="A71" s="1150" t="s">
        <v>799</v>
      </c>
      <c r="B71" s="1151" t="s">
        <v>800</v>
      </c>
      <c r="C71" s="1157"/>
      <c r="D71" s="1153"/>
    </row>
    <row r="72" spans="1:4" ht="15.75">
      <c r="A72" s="1150" t="s">
        <v>801</v>
      </c>
      <c r="B72" s="1151" t="s">
        <v>802</v>
      </c>
      <c r="C72" s="1156"/>
      <c r="D72" s="1155"/>
    </row>
    <row r="73" spans="1:4" ht="16.5" thickBot="1">
      <c r="A73" s="1158" t="s">
        <v>803</v>
      </c>
      <c r="B73" s="1151" t="s">
        <v>804</v>
      </c>
      <c r="C73" s="1159"/>
      <c r="D73" s="1159">
        <f>SUM(D68+D64+D58+D55+D71+D72)</f>
        <v>1324854069</v>
      </c>
    </row>
    <row r="75" ht="16.5" thickBot="1"/>
    <row r="76" spans="1:3" ht="15.75">
      <c r="A76" s="1490" t="s">
        <v>1133</v>
      </c>
      <c r="B76" s="1492" t="s">
        <v>6</v>
      </c>
      <c r="C76" s="1494" t="s">
        <v>1134</v>
      </c>
    </row>
    <row r="77" spans="1:3" ht="15.75">
      <c r="A77" s="1491"/>
      <c r="B77" s="1493"/>
      <c r="C77" s="1495"/>
    </row>
    <row r="78" spans="1:3" ht="16.5" thickBot="1">
      <c r="A78" s="1272" t="s">
        <v>649</v>
      </c>
      <c r="B78" s="1273" t="s">
        <v>15</v>
      </c>
      <c r="C78" s="1274" t="s">
        <v>650</v>
      </c>
    </row>
    <row r="79" spans="1:3" ht="15.75">
      <c r="A79" s="1275" t="s">
        <v>1135</v>
      </c>
      <c r="B79" s="1276" t="s">
        <v>678</v>
      </c>
      <c r="C79" s="1277">
        <f>'12.sz.m.mérleg'!C185</f>
        <v>605374421</v>
      </c>
    </row>
    <row r="80" spans="1:3" ht="15.75">
      <c r="A80" s="1275" t="s">
        <v>1136</v>
      </c>
      <c r="B80" s="1278" t="s">
        <v>680</v>
      </c>
      <c r="C80" s="1277">
        <f>'12.sz.m.mérleg'!C186</f>
        <v>66801174</v>
      </c>
    </row>
    <row r="81" spans="1:3" ht="15.75">
      <c r="A81" s="1275" t="s">
        <v>1137</v>
      </c>
      <c r="B81" s="1278" t="s">
        <v>682</v>
      </c>
      <c r="C81" s="1277">
        <f>'12.sz.m.mérleg'!C190</f>
        <v>81973873</v>
      </c>
    </row>
    <row r="82" spans="1:3" ht="15.75">
      <c r="A82" s="1275" t="s">
        <v>1138</v>
      </c>
      <c r="B82" s="1278" t="s">
        <v>684</v>
      </c>
      <c r="C82" s="1279">
        <f>'12.sz.m.mérleg'!C191</f>
        <v>568983500</v>
      </c>
    </row>
    <row r="83" spans="1:3" ht="15.75">
      <c r="A83" s="1275" t="s">
        <v>1139</v>
      </c>
      <c r="B83" s="1278" t="s">
        <v>686</v>
      </c>
      <c r="C83" s="1279">
        <f>'12.sz.m.mérleg'!C192</f>
        <v>0</v>
      </c>
    </row>
    <row r="84" spans="1:3" ht="15.75">
      <c r="A84" s="1275" t="s">
        <v>1140</v>
      </c>
      <c r="B84" s="1278" t="s">
        <v>688</v>
      </c>
      <c r="C84" s="1279">
        <f>'12.sz.m.mérleg'!C193</f>
        <v>-19075170</v>
      </c>
    </row>
    <row r="85" spans="1:3" ht="15.75">
      <c r="A85" s="1275" t="s">
        <v>1141</v>
      </c>
      <c r="B85" s="1280" t="s">
        <v>690</v>
      </c>
      <c r="C85" s="1281">
        <f>SUM(C79:C84)</f>
        <v>1304057798</v>
      </c>
    </row>
    <row r="86" spans="1:3" ht="15.75">
      <c r="A86" s="1275" t="s">
        <v>1142</v>
      </c>
      <c r="B86" s="1278" t="s">
        <v>692</v>
      </c>
      <c r="C86" s="1282">
        <f>'12.sz.m.mérleg'!C220</f>
        <v>419227</v>
      </c>
    </row>
    <row r="87" spans="1:3" ht="15.75">
      <c r="A87" s="1275" t="s">
        <v>1143</v>
      </c>
      <c r="B87" s="1278" t="s">
        <v>694</v>
      </c>
      <c r="C87" s="1279">
        <f>'12.sz.m.mérleg'!C244</f>
        <v>16653103</v>
      </c>
    </row>
    <row r="88" spans="1:3" ht="15.75">
      <c r="A88" s="1275" t="s">
        <v>1144</v>
      </c>
      <c r="B88" s="1278" t="s">
        <v>436</v>
      </c>
      <c r="C88" s="1279">
        <f>'12.sz.m.mérleg'!C255</f>
        <v>149479</v>
      </c>
    </row>
    <row r="89" spans="1:3" ht="15.75">
      <c r="A89" s="1275" t="s">
        <v>1145</v>
      </c>
      <c r="B89" s="1280" t="s">
        <v>439</v>
      </c>
      <c r="C89" s="1281">
        <f>C86+C87+C88</f>
        <v>17221809</v>
      </c>
    </row>
    <row r="90" spans="1:3" ht="15.75">
      <c r="A90" s="1275" t="s">
        <v>1080</v>
      </c>
      <c r="B90" s="1280" t="s">
        <v>440</v>
      </c>
      <c r="C90" s="1279"/>
    </row>
    <row r="91" spans="1:3" ht="15.75">
      <c r="A91" s="1275" t="s">
        <v>1146</v>
      </c>
      <c r="B91" s="1280" t="s">
        <v>441</v>
      </c>
      <c r="C91" s="1283">
        <f>'12.sz.m.mérleg'!C261</f>
        <v>3574462</v>
      </c>
    </row>
    <row r="92" spans="1:3" ht="16.5" thickBot="1">
      <c r="A92" s="1284" t="s">
        <v>1147</v>
      </c>
      <c r="B92" s="1285" t="s">
        <v>442</v>
      </c>
      <c r="C92" s="1286">
        <f>C85+C89+C90+C91</f>
        <v>1324854069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&amp;R13/a. 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workbookViewId="0" topLeftCell="A67">
      <selection activeCell="C79" sqref="C79:C92"/>
    </sheetView>
  </sheetViews>
  <sheetFormatPr defaultColWidth="60.421875" defaultRowHeight="12.75"/>
  <cols>
    <col min="1" max="1" width="60.421875" style="1182" customWidth="1"/>
    <col min="2" max="2" width="5.57421875" style="1136" customWidth="1"/>
    <col min="3" max="3" width="12.421875" style="1182" customWidth="1"/>
    <col min="4" max="4" width="14.8515625" style="1182" customWidth="1"/>
    <col min="5" max="255" width="10.7109375" style="1131" customWidth="1"/>
    <col min="256" max="16384" width="60.421875" style="1131" customWidth="1"/>
  </cols>
  <sheetData>
    <row r="1" spans="1:256" ht="49.5" customHeight="1">
      <c r="A1" s="1502" t="s">
        <v>669</v>
      </c>
      <c r="B1" s="1502"/>
      <c r="C1" s="1502"/>
      <c r="D1" s="1502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  <c r="P1" s="1137"/>
      <c r="Q1" s="1137"/>
      <c r="R1" s="1137"/>
      <c r="S1" s="1137"/>
      <c r="T1" s="1137"/>
      <c r="U1" s="1137"/>
      <c r="V1" s="1137"/>
      <c r="W1" s="1137"/>
      <c r="X1" s="1137"/>
      <c r="Y1" s="1137"/>
      <c r="Z1" s="1137"/>
      <c r="AA1" s="1137"/>
      <c r="AB1" s="1137"/>
      <c r="AC1" s="1137"/>
      <c r="AD1" s="1137"/>
      <c r="AE1" s="1137"/>
      <c r="AF1" s="1137"/>
      <c r="AG1" s="1137"/>
      <c r="AH1" s="1137"/>
      <c r="AI1" s="1137"/>
      <c r="AJ1" s="1137"/>
      <c r="AK1" s="1137"/>
      <c r="AL1" s="1137"/>
      <c r="AM1" s="1137"/>
      <c r="AN1" s="1137"/>
      <c r="AO1" s="1137"/>
      <c r="AP1" s="1137"/>
      <c r="AQ1" s="1137"/>
      <c r="AR1" s="1137"/>
      <c r="AS1" s="1137"/>
      <c r="AT1" s="1137"/>
      <c r="AU1" s="1137"/>
      <c r="AV1" s="1137"/>
      <c r="AW1" s="1137"/>
      <c r="AX1" s="1137"/>
      <c r="AY1" s="1137"/>
      <c r="AZ1" s="1137"/>
      <c r="BA1" s="1137"/>
      <c r="BB1" s="1137"/>
      <c r="BC1" s="1137"/>
      <c r="BD1" s="1137"/>
      <c r="BE1" s="1137"/>
      <c r="BF1" s="1137"/>
      <c r="BG1" s="1137"/>
      <c r="BH1" s="1137"/>
      <c r="BI1" s="1137"/>
      <c r="BJ1" s="1137"/>
      <c r="BK1" s="1137"/>
      <c r="BL1" s="1137"/>
      <c r="BM1" s="1137"/>
      <c r="BN1" s="1137"/>
      <c r="BO1" s="1137"/>
      <c r="BP1" s="1137"/>
      <c r="BQ1" s="1137"/>
      <c r="BR1" s="1137"/>
      <c r="BS1" s="1137"/>
      <c r="BT1" s="1137"/>
      <c r="BU1" s="1137"/>
      <c r="BV1" s="1137"/>
      <c r="BW1" s="1137"/>
      <c r="BX1" s="1137"/>
      <c r="BY1" s="1137"/>
      <c r="BZ1" s="1137"/>
      <c r="CA1" s="1137"/>
      <c r="CB1" s="1137"/>
      <c r="CC1" s="1137"/>
      <c r="CD1" s="1137"/>
      <c r="CE1" s="1137"/>
      <c r="CF1" s="1137"/>
      <c r="CG1" s="1137"/>
      <c r="CH1" s="1137"/>
      <c r="CI1" s="1137"/>
      <c r="CJ1" s="1137"/>
      <c r="CK1" s="1137"/>
      <c r="CL1" s="1137"/>
      <c r="CM1" s="1137"/>
      <c r="CN1" s="1137"/>
      <c r="CO1" s="1137"/>
      <c r="CP1" s="1137"/>
      <c r="CQ1" s="1137"/>
      <c r="CR1" s="1137"/>
      <c r="CS1" s="1137"/>
      <c r="CT1" s="1137"/>
      <c r="CU1" s="1137"/>
      <c r="CV1" s="1137"/>
      <c r="CW1" s="1137"/>
      <c r="CX1" s="1137"/>
      <c r="CY1" s="1137"/>
      <c r="CZ1" s="1137"/>
      <c r="DA1" s="1137"/>
      <c r="DB1" s="1137"/>
      <c r="DC1" s="1137"/>
      <c r="DD1" s="1137"/>
      <c r="DE1" s="1137"/>
      <c r="DF1" s="1137"/>
      <c r="DG1" s="1137"/>
      <c r="DH1" s="1137"/>
      <c r="DI1" s="1137"/>
      <c r="DJ1" s="1137"/>
      <c r="DK1" s="1137"/>
      <c r="DL1" s="1137"/>
      <c r="DM1" s="1137"/>
      <c r="DN1" s="1137"/>
      <c r="DO1" s="1137"/>
      <c r="DP1" s="1137"/>
      <c r="DQ1" s="1137"/>
      <c r="DR1" s="1137"/>
      <c r="DS1" s="1137"/>
      <c r="DT1" s="1137"/>
      <c r="DU1" s="1137"/>
      <c r="DV1" s="1137"/>
      <c r="DW1" s="1137"/>
      <c r="DX1" s="1137"/>
      <c r="DY1" s="1137"/>
      <c r="DZ1" s="1137"/>
      <c r="EA1" s="1137"/>
      <c r="EB1" s="1137"/>
      <c r="EC1" s="1137"/>
      <c r="ED1" s="1137"/>
      <c r="EE1" s="1137"/>
      <c r="EF1" s="1137"/>
      <c r="EG1" s="1137"/>
      <c r="EH1" s="1137"/>
      <c r="EI1" s="1137"/>
      <c r="EJ1" s="1137"/>
      <c r="EK1" s="1137"/>
      <c r="EL1" s="1137"/>
      <c r="EM1" s="1137"/>
      <c r="EN1" s="1137"/>
      <c r="EO1" s="1137"/>
      <c r="EP1" s="1137"/>
      <c r="EQ1" s="1137"/>
      <c r="ER1" s="1137"/>
      <c r="ES1" s="1137"/>
      <c r="ET1" s="1137"/>
      <c r="EU1" s="1137"/>
      <c r="EV1" s="1137"/>
      <c r="EW1" s="1137"/>
      <c r="EX1" s="1137"/>
      <c r="EY1" s="1137"/>
      <c r="EZ1" s="1137"/>
      <c r="FA1" s="1137"/>
      <c r="FB1" s="1137"/>
      <c r="FC1" s="1137"/>
      <c r="FD1" s="1137"/>
      <c r="FE1" s="1137"/>
      <c r="FF1" s="1137"/>
      <c r="FG1" s="1137"/>
      <c r="FH1" s="1137"/>
      <c r="FI1" s="1137"/>
      <c r="FJ1" s="1137"/>
      <c r="FK1" s="1137"/>
      <c r="FL1" s="1137"/>
      <c r="FM1" s="1137"/>
      <c r="FN1" s="1137"/>
      <c r="FO1" s="1137"/>
      <c r="FP1" s="1137"/>
      <c r="FQ1" s="1137"/>
      <c r="FR1" s="1137"/>
      <c r="FS1" s="1137"/>
      <c r="FT1" s="1137"/>
      <c r="FU1" s="1137"/>
      <c r="FV1" s="1137"/>
      <c r="FW1" s="1137"/>
      <c r="FX1" s="1137"/>
      <c r="FY1" s="1137"/>
      <c r="FZ1" s="1137"/>
      <c r="GA1" s="1137"/>
      <c r="GB1" s="1137"/>
      <c r="GC1" s="1137"/>
      <c r="GD1" s="1137"/>
      <c r="GE1" s="1137"/>
      <c r="GF1" s="1137"/>
      <c r="GG1" s="1137"/>
      <c r="GH1" s="1137"/>
      <c r="GI1" s="1137"/>
      <c r="GJ1" s="1137"/>
      <c r="GK1" s="1137"/>
      <c r="GL1" s="1137"/>
      <c r="GM1" s="1137"/>
      <c r="GN1" s="1137"/>
      <c r="GO1" s="1137"/>
      <c r="GP1" s="1137"/>
      <c r="GQ1" s="1137"/>
      <c r="GR1" s="1137"/>
      <c r="GS1" s="1137"/>
      <c r="GT1" s="1137"/>
      <c r="GU1" s="1137"/>
      <c r="GV1" s="1137"/>
      <c r="GW1" s="1137"/>
      <c r="GX1" s="1137"/>
      <c r="GY1" s="1137"/>
      <c r="GZ1" s="1137"/>
      <c r="HA1" s="1137"/>
      <c r="HB1" s="1137"/>
      <c r="HC1" s="1137"/>
      <c r="HD1" s="1137"/>
      <c r="HE1" s="1137"/>
      <c r="HF1" s="1137"/>
      <c r="HG1" s="1137"/>
      <c r="HH1" s="1137"/>
      <c r="HI1" s="1137"/>
      <c r="HJ1" s="1137"/>
      <c r="HK1" s="1137"/>
      <c r="HL1" s="1137"/>
      <c r="HM1" s="1137"/>
      <c r="HN1" s="1137"/>
      <c r="HO1" s="1137"/>
      <c r="HP1" s="1137"/>
      <c r="HQ1" s="1137"/>
      <c r="HR1" s="1137"/>
      <c r="HS1" s="1137"/>
      <c r="HT1" s="1137"/>
      <c r="HU1" s="1137"/>
      <c r="HV1" s="1137"/>
      <c r="HW1" s="1137"/>
      <c r="HX1" s="1137"/>
      <c r="HY1" s="1137"/>
      <c r="HZ1" s="1137"/>
      <c r="IA1" s="1137"/>
      <c r="IB1" s="1137"/>
      <c r="IC1" s="1137"/>
      <c r="ID1" s="1137"/>
      <c r="IE1" s="1137"/>
      <c r="IF1" s="1137"/>
      <c r="IG1" s="1137"/>
      <c r="IH1" s="1137"/>
      <c r="II1" s="1137"/>
      <c r="IJ1" s="1137"/>
      <c r="IK1" s="1137"/>
      <c r="IL1" s="1137"/>
      <c r="IM1" s="1137"/>
      <c r="IN1" s="1137"/>
      <c r="IO1" s="1137"/>
      <c r="IP1" s="1137"/>
      <c r="IQ1" s="1137"/>
      <c r="IR1" s="1137"/>
      <c r="IS1" s="1137"/>
      <c r="IT1" s="1137"/>
      <c r="IU1" s="1137"/>
      <c r="IV1" s="1137"/>
    </row>
    <row r="2" spans="1:256" ht="16.5" thickBot="1">
      <c r="A2" s="1162" t="s">
        <v>805</v>
      </c>
      <c r="B2" s="1163"/>
      <c r="C2" s="1503" t="s">
        <v>671</v>
      </c>
      <c r="D2" s="1503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1137"/>
      <c r="W2" s="1137"/>
      <c r="X2" s="1137"/>
      <c r="Y2" s="1137"/>
      <c r="Z2" s="1137"/>
      <c r="AA2" s="1137"/>
      <c r="AB2" s="1137"/>
      <c r="AC2" s="1137"/>
      <c r="AD2" s="1137"/>
      <c r="AE2" s="1137"/>
      <c r="AF2" s="1137"/>
      <c r="AG2" s="1137"/>
      <c r="AH2" s="1137"/>
      <c r="AI2" s="1137"/>
      <c r="AJ2" s="1137"/>
      <c r="AK2" s="1137"/>
      <c r="AL2" s="1137"/>
      <c r="AM2" s="1137"/>
      <c r="AN2" s="1137"/>
      <c r="AO2" s="1137"/>
      <c r="AP2" s="1137"/>
      <c r="AQ2" s="1137"/>
      <c r="AR2" s="1137"/>
      <c r="AS2" s="1137"/>
      <c r="AT2" s="1137"/>
      <c r="AU2" s="1137"/>
      <c r="AV2" s="1137"/>
      <c r="AW2" s="1137"/>
      <c r="AX2" s="1137"/>
      <c r="AY2" s="1137"/>
      <c r="AZ2" s="1137"/>
      <c r="BA2" s="1137"/>
      <c r="BB2" s="1137"/>
      <c r="BC2" s="1137"/>
      <c r="BD2" s="1137"/>
      <c r="BE2" s="1137"/>
      <c r="BF2" s="1137"/>
      <c r="BG2" s="1137"/>
      <c r="BH2" s="1137"/>
      <c r="BI2" s="1137"/>
      <c r="BJ2" s="1137"/>
      <c r="BK2" s="1137"/>
      <c r="BL2" s="1137"/>
      <c r="BM2" s="1137"/>
      <c r="BN2" s="1137"/>
      <c r="BO2" s="1137"/>
      <c r="BP2" s="1137"/>
      <c r="BQ2" s="1137"/>
      <c r="BR2" s="1137"/>
      <c r="BS2" s="1137"/>
      <c r="BT2" s="1137"/>
      <c r="BU2" s="1137"/>
      <c r="BV2" s="1137"/>
      <c r="BW2" s="1137"/>
      <c r="BX2" s="1137"/>
      <c r="BY2" s="1137"/>
      <c r="BZ2" s="1137"/>
      <c r="CA2" s="1137"/>
      <c r="CB2" s="1137"/>
      <c r="CC2" s="1137"/>
      <c r="CD2" s="1137"/>
      <c r="CE2" s="1137"/>
      <c r="CF2" s="1137"/>
      <c r="CG2" s="1137"/>
      <c r="CH2" s="1137"/>
      <c r="CI2" s="1137"/>
      <c r="CJ2" s="1137"/>
      <c r="CK2" s="1137"/>
      <c r="CL2" s="1137"/>
      <c r="CM2" s="1137"/>
      <c r="CN2" s="1137"/>
      <c r="CO2" s="1137"/>
      <c r="CP2" s="1137"/>
      <c r="CQ2" s="1137"/>
      <c r="CR2" s="1137"/>
      <c r="CS2" s="1137"/>
      <c r="CT2" s="1137"/>
      <c r="CU2" s="1137"/>
      <c r="CV2" s="1137"/>
      <c r="CW2" s="1137"/>
      <c r="CX2" s="1137"/>
      <c r="CY2" s="1137"/>
      <c r="CZ2" s="1137"/>
      <c r="DA2" s="1137"/>
      <c r="DB2" s="1137"/>
      <c r="DC2" s="1137"/>
      <c r="DD2" s="1137"/>
      <c r="DE2" s="1137"/>
      <c r="DF2" s="1137"/>
      <c r="DG2" s="1137"/>
      <c r="DH2" s="1137"/>
      <c r="DI2" s="1137"/>
      <c r="DJ2" s="1137"/>
      <c r="DK2" s="1137"/>
      <c r="DL2" s="1137"/>
      <c r="DM2" s="1137"/>
      <c r="DN2" s="1137"/>
      <c r="DO2" s="1137"/>
      <c r="DP2" s="1137"/>
      <c r="DQ2" s="1137"/>
      <c r="DR2" s="1137"/>
      <c r="DS2" s="1137"/>
      <c r="DT2" s="1137"/>
      <c r="DU2" s="1137"/>
      <c r="DV2" s="1137"/>
      <c r="DW2" s="1137"/>
      <c r="DX2" s="1137"/>
      <c r="DY2" s="1137"/>
      <c r="DZ2" s="1137"/>
      <c r="EA2" s="1137"/>
      <c r="EB2" s="1137"/>
      <c r="EC2" s="1137"/>
      <c r="ED2" s="1137"/>
      <c r="EE2" s="1137"/>
      <c r="EF2" s="1137"/>
      <c r="EG2" s="1137"/>
      <c r="EH2" s="1137"/>
      <c r="EI2" s="1137"/>
      <c r="EJ2" s="1137"/>
      <c r="EK2" s="1137"/>
      <c r="EL2" s="1137"/>
      <c r="EM2" s="1137"/>
      <c r="EN2" s="1137"/>
      <c r="EO2" s="1137"/>
      <c r="EP2" s="1137"/>
      <c r="EQ2" s="1137"/>
      <c r="ER2" s="1137"/>
      <c r="ES2" s="1137"/>
      <c r="ET2" s="1137"/>
      <c r="EU2" s="1137"/>
      <c r="EV2" s="1137"/>
      <c r="EW2" s="1137"/>
      <c r="EX2" s="1137"/>
      <c r="EY2" s="1137"/>
      <c r="EZ2" s="1137"/>
      <c r="FA2" s="1137"/>
      <c r="FB2" s="1137"/>
      <c r="FC2" s="1137"/>
      <c r="FD2" s="1137"/>
      <c r="FE2" s="1137"/>
      <c r="FF2" s="1137"/>
      <c r="FG2" s="1137"/>
      <c r="FH2" s="1137"/>
      <c r="FI2" s="1137"/>
      <c r="FJ2" s="1137"/>
      <c r="FK2" s="1137"/>
      <c r="FL2" s="1137"/>
      <c r="FM2" s="1137"/>
      <c r="FN2" s="1137"/>
      <c r="FO2" s="1137"/>
      <c r="FP2" s="1137"/>
      <c r="FQ2" s="1137"/>
      <c r="FR2" s="1137"/>
      <c r="FS2" s="1137"/>
      <c r="FT2" s="1137"/>
      <c r="FU2" s="1137"/>
      <c r="FV2" s="1137"/>
      <c r="FW2" s="1137"/>
      <c r="FX2" s="1137"/>
      <c r="FY2" s="1137"/>
      <c r="FZ2" s="1137"/>
      <c r="GA2" s="1137"/>
      <c r="GB2" s="1137"/>
      <c r="GC2" s="1137"/>
      <c r="GD2" s="1137"/>
      <c r="GE2" s="1137"/>
      <c r="GF2" s="1137"/>
      <c r="GG2" s="1137"/>
      <c r="GH2" s="1137"/>
      <c r="GI2" s="1137"/>
      <c r="GJ2" s="1137"/>
      <c r="GK2" s="1137"/>
      <c r="GL2" s="1137"/>
      <c r="GM2" s="1137"/>
      <c r="GN2" s="1137"/>
      <c r="GO2" s="1137"/>
      <c r="GP2" s="1137"/>
      <c r="GQ2" s="1137"/>
      <c r="GR2" s="1137"/>
      <c r="GS2" s="1137"/>
      <c r="GT2" s="1137"/>
      <c r="GU2" s="1137"/>
      <c r="GV2" s="1137"/>
      <c r="GW2" s="1137"/>
      <c r="GX2" s="1137"/>
      <c r="GY2" s="1137"/>
      <c r="GZ2" s="1137"/>
      <c r="HA2" s="1137"/>
      <c r="HB2" s="1137"/>
      <c r="HC2" s="1137"/>
      <c r="HD2" s="1137"/>
      <c r="HE2" s="1137"/>
      <c r="HF2" s="1137"/>
      <c r="HG2" s="1137"/>
      <c r="HH2" s="1137"/>
      <c r="HI2" s="1137"/>
      <c r="HJ2" s="1137"/>
      <c r="HK2" s="1137"/>
      <c r="HL2" s="1137"/>
      <c r="HM2" s="1137"/>
      <c r="HN2" s="1137"/>
      <c r="HO2" s="1137"/>
      <c r="HP2" s="1137"/>
      <c r="HQ2" s="1137"/>
      <c r="HR2" s="1137"/>
      <c r="HS2" s="1137"/>
      <c r="HT2" s="1137"/>
      <c r="HU2" s="1137"/>
      <c r="HV2" s="1137"/>
      <c r="HW2" s="1137"/>
      <c r="HX2" s="1137"/>
      <c r="HY2" s="1137"/>
      <c r="HZ2" s="1137"/>
      <c r="IA2" s="1137"/>
      <c r="IB2" s="1137"/>
      <c r="IC2" s="1137"/>
      <c r="ID2" s="1137"/>
      <c r="IE2" s="1137"/>
      <c r="IF2" s="1137"/>
      <c r="IG2" s="1137"/>
      <c r="IH2" s="1137"/>
      <c r="II2" s="1137"/>
      <c r="IJ2" s="1137"/>
      <c r="IK2" s="1137"/>
      <c r="IL2" s="1137"/>
      <c r="IM2" s="1137"/>
      <c r="IN2" s="1137"/>
      <c r="IO2" s="1137"/>
      <c r="IP2" s="1137"/>
      <c r="IQ2" s="1137"/>
      <c r="IR2" s="1137"/>
      <c r="IS2" s="1137"/>
      <c r="IT2" s="1137"/>
      <c r="IU2" s="1137"/>
      <c r="IV2" s="1137"/>
    </row>
    <row r="3" spans="1:256" ht="15.75" customHeight="1" thickBot="1">
      <c r="A3" s="1504" t="s">
        <v>672</v>
      </c>
      <c r="B3" s="1505" t="s">
        <v>6</v>
      </c>
      <c r="C3" s="1506" t="s">
        <v>673</v>
      </c>
      <c r="D3" s="1506" t="s">
        <v>674</v>
      </c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7"/>
      <c r="AJ3" s="1137"/>
      <c r="AK3" s="1137"/>
      <c r="AL3" s="1137"/>
      <c r="AM3" s="1137"/>
      <c r="AN3" s="1137"/>
      <c r="AO3" s="1137"/>
      <c r="AP3" s="1137"/>
      <c r="AQ3" s="1137"/>
      <c r="AR3" s="1137"/>
      <c r="AS3" s="1137"/>
      <c r="AT3" s="1137"/>
      <c r="AU3" s="1137"/>
      <c r="AV3" s="1137"/>
      <c r="AW3" s="1137"/>
      <c r="AX3" s="1137"/>
      <c r="AY3" s="1137"/>
      <c r="AZ3" s="1137"/>
      <c r="BA3" s="1137"/>
      <c r="BB3" s="1137"/>
      <c r="BC3" s="1137"/>
      <c r="BD3" s="1137"/>
      <c r="BE3" s="1137"/>
      <c r="BF3" s="1137"/>
      <c r="BG3" s="1137"/>
      <c r="BH3" s="1137"/>
      <c r="BI3" s="1137"/>
      <c r="BJ3" s="1137"/>
      <c r="BK3" s="1137"/>
      <c r="BL3" s="1137"/>
      <c r="BM3" s="1137"/>
      <c r="BN3" s="1137"/>
      <c r="BO3" s="1137"/>
      <c r="BP3" s="1137"/>
      <c r="BQ3" s="1137"/>
      <c r="BR3" s="1137"/>
      <c r="BS3" s="1137"/>
      <c r="BT3" s="1137"/>
      <c r="BU3" s="1137"/>
      <c r="BV3" s="1137"/>
      <c r="BW3" s="1137"/>
      <c r="BX3" s="1137"/>
      <c r="BY3" s="1137"/>
      <c r="BZ3" s="1137"/>
      <c r="CA3" s="1137"/>
      <c r="CB3" s="1137"/>
      <c r="CC3" s="1137"/>
      <c r="CD3" s="1137"/>
      <c r="CE3" s="1137"/>
      <c r="CF3" s="1137"/>
      <c r="CG3" s="1137"/>
      <c r="CH3" s="1137"/>
      <c r="CI3" s="1137"/>
      <c r="CJ3" s="1137"/>
      <c r="CK3" s="1137"/>
      <c r="CL3" s="1137"/>
      <c r="CM3" s="1137"/>
      <c r="CN3" s="1137"/>
      <c r="CO3" s="1137"/>
      <c r="CP3" s="1137"/>
      <c r="CQ3" s="1137"/>
      <c r="CR3" s="1137"/>
      <c r="CS3" s="1137"/>
      <c r="CT3" s="1137"/>
      <c r="CU3" s="1137"/>
      <c r="CV3" s="1137"/>
      <c r="CW3" s="1137"/>
      <c r="CX3" s="1137"/>
      <c r="CY3" s="1137"/>
      <c r="CZ3" s="1137"/>
      <c r="DA3" s="1137"/>
      <c r="DB3" s="1137"/>
      <c r="DC3" s="1137"/>
      <c r="DD3" s="1137"/>
      <c r="DE3" s="1137"/>
      <c r="DF3" s="1137"/>
      <c r="DG3" s="1137"/>
      <c r="DH3" s="1137"/>
      <c r="DI3" s="1137"/>
      <c r="DJ3" s="1137"/>
      <c r="DK3" s="1137"/>
      <c r="DL3" s="1137"/>
      <c r="DM3" s="1137"/>
      <c r="DN3" s="1137"/>
      <c r="DO3" s="1137"/>
      <c r="DP3" s="1137"/>
      <c r="DQ3" s="1137"/>
      <c r="DR3" s="1137"/>
      <c r="DS3" s="1137"/>
      <c r="DT3" s="1137"/>
      <c r="DU3" s="1137"/>
      <c r="DV3" s="1137"/>
      <c r="DW3" s="1137"/>
      <c r="DX3" s="1137"/>
      <c r="DY3" s="1137"/>
      <c r="DZ3" s="1137"/>
      <c r="EA3" s="1137"/>
      <c r="EB3" s="1137"/>
      <c r="EC3" s="1137"/>
      <c r="ED3" s="1137"/>
      <c r="EE3" s="1137"/>
      <c r="EF3" s="1137"/>
      <c r="EG3" s="1137"/>
      <c r="EH3" s="1137"/>
      <c r="EI3" s="1137"/>
      <c r="EJ3" s="1137"/>
      <c r="EK3" s="1137"/>
      <c r="EL3" s="1137"/>
      <c r="EM3" s="1137"/>
      <c r="EN3" s="1137"/>
      <c r="EO3" s="1137"/>
      <c r="EP3" s="1137"/>
      <c r="EQ3" s="1137"/>
      <c r="ER3" s="1137"/>
      <c r="ES3" s="1137"/>
      <c r="ET3" s="1137"/>
      <c r="EU3" s="1137"/>
      <c r="EV3" s="1137"/>
      <c r="EW3" s="1137"/>
      <c r="EX3" s="1137"/>
      <c r="EY3" s="1137"/>
      <c r="EZ3" s="1137"/>
      <c r="FA3" s="1137"/>
      <c r="FB3" s="1137"/>
      <c r="FC3" s="1137"/>
      <c r="FD3" s="1137"/>
      <c r="FE3" s="1137"/>
      <c r="FF3" s="1137"/>
      <c r="FG3" s="1137"/>
      <c r="FH3" s="1137"/>
      <c r="FI3" s="1137"/>
      <c r="FJ3" s="1137"/>
      <c r="FK3" s="1137"/>
      <c r="FL3" s="1137"/>
      <c r="FM3" s="1137"/>
      <c r="FN3" s="1137"/>
      <c r="FO3" s="1137"/>
      <c r="FP3" s="1137"/>
      <c r="FQ3" s="1137"/>
      <c r="FR3" s="1137"/>
      <c r="FS3" s="1137"/>
      <c r="FT3" s="1137"/>
      <c r="FU3" s="1137"/>
      <c r="FV3" s="1137"/>
      <c r="FW3" s="1137"/>
      <c r="FX3" s="1137"/>
      <c r="FY3" s="1137"/>
      <c r="FZ3" s="1137"/>
      <c r="GA3" s="1137"/>
      <c r="GB3" s="1137"/>
      <c r="GC3" s="1137"/>
      <c r="GD3" s="1137"/>
      <c r="GE3" s="1137"/>
      <c r="GF3" s="1137"/>
      <c r="GG3" s="1137"/>
      <c r="GH3" s="1137"/>
      <c r="GI3" s="1137"/>
      <c r="GJ3" s="1137"/>
      <c r="GK3" s="1137"/>
      <c r="GL3" s="1137"/>
      <c r="GM3" s="1137"/>
      <c r="GN3" s="1137"/>
      <c r="GO3" s="1137"/>
      <c r="GP3" s="1137"/>
      <c r="GQ3" s="1137"/>
      <c r="GR3" s="1137"/>
      <c r="GS3" s="1137"/>
      <c r="GT3" s="1137"/>
      <c r="GU3" s="1137"/>
      <c r="GV3" s="1137"/>
      <c r="GW3" s="1137"/>
      <c r="GX3" s="1137"/>
      <c r="GY3" s="1137"/>
      <c r="GZ3" s="1137"/>
      <c r="HA3" s="1137"/>
      <c r="HB3" s="1137"/>
      <c r="HC3" s="1137"/>
      <c r="HD3" s="1137"/>
      <c r="HE3" s="1137"/>
      <c r="HF3" s="1137"/>
      <c r="HG3" s="1137"/>
      <c r="HH3" s="1137"/>
      <c r="HI3" s="1137"/>
      <c r="HJ3" s="1137"/>
      <c r="HK3" s="1137"/>
      <c r="HL3" s="1137"/>
      <c r="HM3" s="1137"/>
      <c r="HN3" s="1137"/>
      <c r="HO3" s="1137"/>
      <c r="HP3" s="1137"/>
      <c r="HQ3" s="1137"/>
      <c r="HR3" s="1137"/>
      <c r="HS3" s="1137"/>
      <c r="HT3" s="1137"/>
      <c r="HU3" s="1137"/>
      <c r="HV3" s="1137"/>
      <c r="HW3" s="1137"/>
      <c r="HX3" s="1137"/>
      <c r="HY3" s="1137"/>
      <c r="HZ3" s="1137"/>
      <c r="IA3" s="1137"/>
      <c r="IB3" s="1137"/>
      <c r="IC3" s="1137"/>
      <c r="ID3" s="1137"/>
      <c r="IE3" s="1137"/>
      <c r="IF3" s="1137"/>
      <c r="IG3" s="1137"/>
      <c r="IH3" s="1137"/>
      <c r="II3" s="1137"/>
      <c r="IJ3" s="1137"/>
      <c r="IK3" s="1137"/>
      <c r="IL3" s="1137"/>
      <c r="IM3" s="1137"/>
      <c r="IN3" s="1137"/>
      <c r="IO3" s="1137"/>
      <c r="IP3" s="1137"/>
      <c r="IQ3" s="1137"/>
      <c r="IR3" s="1137"/>
      <c r="IS3" s="1137"/>
      <c r="IT3" s="1137"/>
      <c r="IU3" s="1137"/>
      <c r="IV3" s="1137"/>
    </row>
    <row r="4" spans="1:256" ht="11.25" customHeight="1" thickBot="1">
      <c r="A4" s="1504"/>
      <c r="B4" s="1505"/>
      <c r="C4" s="1506"/>
      <c r="D4" s="1506"/>
      <c r="E4" s="1137"/>
      <c r="F4" s="1137"/>
      <c r="G4" s="1137"/>
      <c r="H4" s="1137"/>
      <c r="I4" s="1137"/>
      <c r="J4" s="1137"/>
      <c r="K4" s="1137"/>
      <c r="L4" s="1137"/>
      <c r="M4" s="1137"/>
      <c r="N4" s="1137"/>
      <c r="O4" s="1137"/>
      <c r="P4" s="1137"/>
      <c r="Q4" s="1137"/>
      <c r="R4" s="1137"/>
      <c r="S4" s="1137"/>
      <c r="T4" s="1137"/>
      <c r="U4" s="1137"/>
      <c r="V4" s="1137"/>
      <c r="W4" s="1137"/>
      <c r="X4" s="1137"/>
      <c r="Y4" s="1137"/>
      <c r="Z4" s="1137"/>
      <c r="AA4" s="1137"/>
      <c r="AB4" s="1137"/>
      <c r="AC4" s="1137"/>
      <c r="AD4" s="1137"/>
      <c r="AE4" s="1137"/>
      <c r="AF4" s="1137"/>
      <c r="AG4" s="1137"/>
      <c r="AH4" s="1137"/>
      <c r="AI4" s="1137"/>
      <c r="AJ4" s="1137"/>
      <c r="AK4" s="1137"/>
      <c r="AL4" s="1137"/>
      <c r="AM4" s="1137"/>
      <c r="AN4" s="1137"/>
      <c r="AO4" s="1137"/>
      <c r="AP4" s="1137"/>
      <c r="AQ4" s="1137"/>
      <c r="AR4" s="1137"/>
      <c r="AS4" s="1137"/>
      <c r="AT4" s="1137"/>
      <c r="AU4" s="1137"/>
      <c r="AV4" s="1137"/>
      <c r="AW4" s="1137"/>
      <c r="AX4" s="1137"/>
      <c r="AY4" s="1137"/>
      <c r="AZ4" s="1137"/>
      <c r="BA4" s="1137"/>
      <c r="BB4" s="1137"/>
      <c r="BC4" s="1137"/>
      <c r="BD4" s="1137"/>
      <c r="BE4" s="1137"/>
      <c r="BF4" s="1137"/>
      <c r="BG4" s="1137"/>
      <c r="BH4" s="1137"/>
      <c r="BI4" s="1137"/>
      <c r="BJ4" s="1137"/>
      <c r="BK4" s="1137"/>
      <c r="BL4" s="1137"/>
      <c r="BM4" s="1137"/>
      <c r="BN4" s="1137"/>
      <c r="BO4" s="1137"/>
      <c r="BP4" s="1137"/>
      <c r="BQ4" s="1137"/>
      <c r="BR4" s="1137"/>
      <c r="BS4" s="1137"/>
      <c r="BT4" s="1137"/>
      <c r="BU4" s="1137"/>
      <c r="BV4" s="1137"/>
      <c r="BW4" s="1137"/>
      <c r="BX4" s="1137"/>
      <c r="BY4" s="1137"/>
      <c r="BZ4" s="1137"/>
      <c r="CA4" s="1137"/>
      <c r="CB4" s="1137"/>
      <c r="CC4" s="1137"/>
      <c r="CD4" s="1137"/>
      <c r="CE4" s="1137"/>
      <c r="CF4" s="1137"/>
      <c r="CG4" s="1137"/>
      <c r="CH4" s="1137"/>
      <c r="CI4" s="1137"/>
      <c r="CJ4" s="1137"/>
      <c r="CK4" s="1137"/>
      <c r="CL4" s="1137"/>
      <c r="CM4" s="1137"/>
      <c r="CN4" s="1137"/>
      <c r="CO4" s="1137"/>
      <c r="CP4" s="1137"/>
      <c r="CQ4" s="1137"/>
      <c r="CR4" s="1137"/>
      <c r="CS4" s="1137"/>
      <c r="CT4" s="1137"/>
      <c r="CU4" s="1137"/>
      <c r="CV4" s="1137"/>
      <c r="CW4" s="1137"/>
      <c r="CX4" s="1137"/>
      <c r="CY4" s="1137"/>
      <c r="CZ4" s="1137"/>
      <c r="DA4" s="1137"/>
      <c r="DB4" s="1137"/>
      <c r="DC4" s="1137"/>
      <c r="DD4" s="1137"/>
      <c r="DE4" s="1137"/>
      <c r="DF4" s="1137"/>
      <c r="DG4" s="1137"/>
      <c r="DH4" s="1137"/>
      <c r="DI4" s="1137"/>
      <c r="DJ4" s="1137"/>
      <c r="DK4" s="1137"/>
      <c r="DL4" s="1137"/>
      <c r="DM4" s="1137"/>
      <c r="DN4" s="1137"/>
      <c r="DO4" s="1137"/>
      <c r="DP4" s="1137"/>
      <c r="DQ4" s="1137"/>
      <c r="DR4" s="1137"/>
      <c r="DS4" s="1137"/>
      <c r="DT4" s="1137"/>
      <c r="DU4" s="1137"/>
      <c r="DV4" s="1137"/>
      <c r="DW4" s="1137"/>
      <c r="DX4" s="1137"/>
      <c r="DY4" s="1137"/>
      <c r="DZ4" s="1137"/>
      <c r="EA4" s="1137"/>
      <c r="EB4" s="1137"/>
      <c r="EC4" s="1137"/>
      <c r="ED4" s="1137"/>
      <c r="EE4" s="1137"/>
      <c r="EF4" s="1137"/>
      <c r="EG4" s="1137"/>
      <c r="EH4" s="1137"/>
      <c r="EI4" s="1137"/>
      <c r="EJ4" s="1137"/>
      <c r="EK4" s="1137"/>
      <c r="EL4" s="1137"/>
      <c r="EM4" s="1137"/>
      <c r="EN4" s="1137"/>
      <c r="EO4" s="1137"/>
      <c r="EP4" s="1137"/>
      <c r="EQ4" s="1137"/>
      <c r="ER4" s="1137"/>
      <c r="ES4" s="1137"/>
      <c r="ET4" s="1137"/>
      <c r="EU4" s="1137"/>
      <c r="EV4" s="1137"/>
      <c r="EW4" s="1137"/>
      <c r="EX4" s="1137"/>
      <c r="EY4" s="1137"/>
      <c r="EZ4" s="1137"/>
      <c r="FA4" s="1137"/>
      <c r="FB4" s="1137"/>
      <c r="FC4" s="1137"/>
      <c r="FD4" s="1137"/>
      <c r="FE4" s="1137"/>
      <c r="FF4" s="1137"/>
      <c r="FG4" s="1137"/>
      <c r="FH4" s="1137"/>
      <c r="FI4" s="1137"/>
      <c r="FJ4" s="1137"/>
      <c r="FK4" s="1137"/>
      <c r="FL4" s="1137"/>
      <c r="FM4" s="1137"/>
      <c r="FN4" s="1137"/>
      <c r="FO4" s="1137"/>
      <c r="FP4" s="1137"/>
      <c r="FQ4" s="1137"/>
      <c r="FR4" s="1137"/>
      <c r="FS4" s="1137"/>
      <c r="FT4" s="1137"/>
      <c r="FU4" s="1137"/>
      <c r="FV4" s="1137"/>
      <c r="FW4" s="1137"/>
      <c r="FX4" s="1137"/>
      <c r="FY4" s="1137"/>
      <c r="FZ4" s="1137"/>
      <c r="GA4" s="1137"/>
      <c r="GB4" s="1137"/>
      <c r="GC4" s="1137"/>
      <c r="GD4" s="1137"/>
      <c r="GE4" s="1137"/>
      <c r="GF4" s="1137"/>
      <c r="GG4" s="1137"/>
      <c r="GH4" s="1137"/>
      <c r="GI4" s="1137"/>
      <c r="GJ4" s="1137"/>
      <c r="GK4" s="1137"/>
      <c r="GL4" s="1137"/>
      <c r="GM4" s="1137"/>
      <c r="GN4" s="1137"/>
      <c r="GO4" s="1137"/>
      <c r="GP4" s="1137"/>
      <c r="GQ4" s="1137"/>
      <c r="GR4" s="1137"/>
      <c r="GS4" s="1137"/>
      <c r="GT4" s="1137"/>
      <c r="GU4" s="1137"/>
      <c r="GV4" s="1137"/>
      <c r="GW4" s="1137"/>
      <c r="GX4" s="1137"/>
      <c r="GY4" s="1137"/>
      <c r="GZ4" s="1137"/>
      <c r="HA4" s="1137"/>
      <c r="HB4" s="1137"/>
      <c r="HC4" s="1137"/>
      <c r="HD4" s="1137"/>
      <c r="HE4" s="1137"/>
      <c r="HF4" s="1137"/>
      <c r="HG4" s="1137"/>
      <c r="HH4" s="1137"/>
      <c r="HI4" s="1137"/>
      <c r="HJ4" s="1137"/>
      <c r="HK4" s="1137"/>
      <c r="HL4" s="1137"/>
      <c r="HM4" s="1137"/>
      <c r="HN4" s="1137"/>
      <c r="HO4" s="1137"/>
      <c r="HP4" s="1137"/>
      <c r="HQ4" s="1137"/>
      <c r="HR4" s="1137"/>
      <c r="HS4" s="1137"/>
      <c r="HT4" s="1137"/>
      <c r="HU4" s="1137"/>
      <c r="HV4" s="1137"/>
      <c r="HW4" s="1137"/>
      <c r="HX4" s="1137"/>
      <c r="HY4" s="1137"/>
      <c r="HZ4" s="1137"/>
      <c r="IA4" s="1137"/>
      <c r="IB4" s="1137"/>
      <c r="IC4" s="1137"/>
      <c r="ID4" s="1137"/>
      <c r="IE4" s="1137"/>
      <c r="IF4" s="1137"/>
      <c r="IG4" s="1137"/>
      <c r="IH4" s="1137"/>
      <c r="II4" s="1137"/>
      <c r="IJ4" s="1137"/>
      <c r="IK4" s="1137"/>
      <c r="IL4" s="1137"/>
      <c r="IM4" s="1137"/>
      <c r="IN4" s="1137"/>
      <c r="IO4" s="1137"/>
      <c r="IP4" s="1137"/>
      <c r="IQ4" s="1137"/>
      <c r="IR4" s="1137"/>
      <c r="IS4" s="1137"/>
      <c r="IT4" s="1137"/>
      <c r="IU4" s="1137"/>
      <c r="IV4" s="1137"/>
    </row>
    <row r="5" spans="1:256" ht="12.75" customHeight="1">
      <c r="A5" s="1504"/>
      <c r="B5" s="1505"/>
      <c r="C5" s="1507" t="s">
        <v>675</v>
      </c>
      <c r="D5" s="150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7"/>
      <c r="AD5" s="1137"/>
      <c r="AE5" s="1137"/>
      <c r="AF5" s="1137"/>
      <c r="AG5" s="1137"/>
      <c r="AH5" s="1137"/>
      <c r="AI5" s="1137"/>
      <c r="AJ5" s="1137"/>
      <c r="AK5" s="1137"/>
      <c r="AL5" s="1137"/>
      <c r="AM5" s="1137"/>
      <c r="AN5" s="1137"/>
      <c r="AO5" s="1137"/>
      <c r="AP5" s="1137"/>
      <c r="AQ5" s="1137"/>
      <c r="AR5" s="1137"/>
      <c r="AS5" s="1137"/>
      <c r="AT5" s="1137"/>
      <c r="AU5" s="1137"/>
      <c r="AV5" s="1137"/>
      <c r="AW5" s="1137"/>
      <c r="AX5" s="1137"/>
      <c r="AY5" s="1137"/>
      <c r="AZ5" s="1137"/>
      <c r="BA5" s="1137"/>
      <c r="BB5" s="1137"/>
      <c r="BC5" s="1137"/>
      <c r="BD5" s="1137"/>
      <c r="BE5" s="1137"/>
      <c r="BF5" s="1137"/>
      <c r="BG5" s="1137"/>
      <c r="BH5" s="1137"/>
      <c r="BI5" s="1137"/>
      <c r="BJ5" s="1137"/>
      <c r="BK5" s="1137"/>
      <c r="BL5" s="1137"/>
      <c r="BM5" s="1137"/>
      <c r="BN5" s="1137"/>
      <c r="BO5" s="1137"/>
      <c r="BP5" s="1137"/>
      <c r="BQ5" s="1137"/>
      <c r="BR5" s="1137"/>
      <c r="BS5" s="1137"/>
      <c r="BT5" s="1137"/>
      <c r="BU5" s="1137"/>
      <c r="BV5" s="1137"/>
      <c r="BW5" s="1137"/>
      <c r="BX5" s="1137"/>
      <c r="BY5" s="1137"/>
      <c r="BZ5" s="1137"/>
      <c r="CA5" s="1137"/>
      <c r="CB5" s="1137"/>
      <c r="CC5" s="1137"/>
      <c r="CD5" s="1137"/>
      <c r="CE5" s="1137"/>
      <c r="CF5" s="1137"/>
      <c r="CG5" s="1137"/>
      <c r="CH5" s="1137"/>
      <c r="CI5" s="1137"/>
      <c r="CJ5" s="1137"/>
      <c r="CK5" s="1137"/>
      <c r="CL5" s="1137"/>
      <c r="CM5" s="1137"/>
      <c r="CN5" s="1137"/>
      <c r="CO5" s="1137"/>
      <c r="CP5" s="1137"/>
      <c r="CQ5" s="1137"/>
      <c r="CR5" s="1137"/>
      <c r="CS5" s="1137"/>
      <c r="CT5" s="1137"/>
      <c r="CU5" s="1137"/>
      <c r="CV5" s="1137"/>
      <c r="CW5" s="1137"/>
      <c r="CX5" s="1137"/>
      <c r="CY5" s="1137"/>
      <c r="CZ5" s="1137"/>
      <c r="DA5" s="1137"/>
      <c r="DB5" s="1137"/>
      <c r="DC5" s="1137"/>
      <c r="DD5" s="1137"/>
      <c r="DE5" s="1137"/>
      <c r="DF5" s="1137"/>
      <c r="DG5" s="1137"/>
      <c r="DH5" s="1137"/>
      <c r="DI5" s="1137"/>
      <c r="DJ5" s="1137"/>
      <c r="DK5" s="1137"/>
      <c r="DL5" s="1137"/>
      <c r="DM5" s="1137"/>
      <c r="DN5" s="1137"/>
      <c r="DO5" s="1137"/>
      <c r="DP5" s="1137"/>
      <c r="DQ5" s="1137"/>
      <c r="DR5" s="1137"/>
      <c r="DS5" s="1137"/>
      <c r="DT5" s="1137"/>
      <c r="DU5" s="1137"/>
      <c r="DV5" s="1137"/>
      <c r="DW5" s="1137"/>
      <c r="DX5" s="1137"/>
      <c r="DY5" s="1137"/>
      <c r="DZ5" s="1137"/>
      <c r="EA5" s="1137"/>
      <c r="EB5" s="1137"/>
      <c r="EC5" s="1137"/>
      <c r="ED5" s="1137"/>
      <c r="EE5" s="1137"/>
      <c r="EF5" s="1137"/>
      <c r="EG5" s="1137"/>
      <c r="EH5" s="1137"/>
      <c r="EI5" s="1137"/>
      <c r="EJ5" s="1137"/>
      <c r="EK5" s="1137"/>
      <c r="EL5" s="1137"/>
      <c r="EM5" s="1137"/>
      <c r="EN5" s="1137"/>
      <c r="EO5" s="1137"/>
      <c r="EP5" s="1137"/>
      <c r="EQ5" s="1137"/>
      <c r="ER5" s="1137"/>
      <c r="ES5" s="1137"/>
      <c r="ET5" s="1137"/>
      <c r="EU5" s="1137"/>
      <c r="EV5" s="1137"/>
      <c r="EW5" s="1137"/>
      <c r="EX5" s="1137"/>
      <c r="EY5" s="1137"/>
      <c r="EZ5" s="1137"/>
      <c r="FA5" s="1137"/>
      <c r="FB5" s="1137"/>
      <c r="FC5" s="1137"/>
      <c r="FD5" s="1137"/>
      <c r="FE5" s="1137"/>
      <c r="FF5" s="1137"/>
      <c r="FG5" s="1137"/>
      <c r="FH5" s="1137"/>
      <c r="FI5" s="1137"/>
      <c r="FJ5" s="1137"/>
      <c r="FK5" s="1137"/>
      <c r="FL5" s="1137"/>
      <c r="FM5" s="1137"/>
      <c r="FN5" s="1137"/>
      <c r="FO5" s="1137"/>
      <c r="FP5" s="1137"/>
      <c r="FQ5" s="1137"/>
      <c r="FR5" s="1137"/>
      <c r="FS5" s="1137"/>
      <c r="FT5" s="1137"/>
      <c r="FU5" s="1137"/>
      <c r="FV5" s="1137"/>
      <c r="FW5" s="1137"/>
      <c r="FX5" s="1137"/>
      <c r="FY5" s="1137"/>
      <c r="FZ5" s="1137"/>
      <c r="GA5" s="1137"/>
      <c r="GB5" s="1137"/>
      <c r="GC5" s="1137"/>
      <c r="GD5" s="1137"/>
      <c r="GE5" s="1137"/>
      <c r="GF5" s="1137"/>
      <c r="GG5" s="1137"/>
      <c r="GH5" s="1137"/>
      <c r="GI5" s="1137"/>
      <c r="GJ5" s="1137"/>
      <c r="GK5" s="1137"/>
      <c r="GL5" s="1137"/>
      <c r="GM5" s="1137"/>
      <c r="GN5" s="1137"/>
      <c r="GO5" s="1137"/>
      <c r="GP5" s="1137"/>
      <c r="GQ5" s="1137"/>
      <c r="GR5" s="1137"/>
      <c r="GS5" s="1137"/>
      <c r="GT5" s="1137"/>
      <c r="GU5" s="1137"/>
      <c r="GV5" s="1137"/>
      <c r="GW5" s="1137"/>
      <c r="GX5" s="1137"/>
      <c r="GY5" s="1137"/>
      <c r="GZ5" s="1137"/>
      <c r="HA5" s="1137"/>
      <c r="HB5" s="1137"/>
      <c r="HC5" s="1137"/>
      <c r="HD5" s="1137"/>
      <c r="HE5" s="1137"/>
      <c r="HF5" s="1137"/>
      <c r="HG5" s="1137"/>
      <c r="HH5" s="1137"/>
      <c r="HI5" s="1137"/>
      <c r="HJ5" s="1137"/>
      <c r="HK5" s="1137"/>
      <c r="HL5" s="1137"/>
      <c r="HM5" s="1137"/>
      <c r="HN5" s="1137"/>
      <c r="HO5" s="1137"/>
      <c r="HP5" s="1137"/>
      <c r="HQ5" s="1137"/>
      <c r="HR5" s="1137"/>
      <c r="HS5" s="1137"/>
      <c r="HT5" s="1137"/>
      <c r="HU5" s="1137"/>
      <c r="HV5" s="1137"/>
      <c r="HW5" s="1137"/>
      <c r="HX5" s="1137"/>
      <c r="HY5" s="1137"/>
      <c r="HZ5" s="1137"/>
      <c r="IA5" s="1137"/>
      <c r="IB5" s="1137"/>
      <c r="IC5" s="1137"/>
      <c r="ID5" s="1137"/>
      <c r="IE5" s="1137"/>
      <c r="IF5" s="1137"/>
      <c r="IG5" s="1137"/>
      <c r="IH5" s="1137"/>
      <c r="II5" s="1137"/>
      <c r="IJ5" s="1137"/>
      <c r="IK5" s="1137"/>
      <c r="IL5" s="1137"/>
      <c r="IM5" s="1137"/>
      <c r="IN5" s="1137"/>
      <c r="IO5" s="1137"/>
      <c r="IP5" s="1137"/>
      <c r="IQ5" s="1137"/>
      <c r="IR5" s="1137"/>
      <c r="IS5" s="1137"/>
      <c r="IT5" s="1137"/>
      <c r="IU5" s="1137"/>
      <c r="IV5" s="1137"/>
    </row>
    <row r="6" spans="1:4" s="1142" customFormat="1" ht="16.5" thickBot="1">
      <c r="A6" s="1164" t="s">
        <v>676</v>
      </c>
      <c r="B6" s="1165" t="s">
        <v>15</v>
      </c>
      <c r="C6" s="1165" t="s">
        <v>650</v>
      </c>
      <c r="D6" s="1165" t="s">
        <v>651</v>
      </c>
    </row>
    <row r="7" spans="1:4" s="1146" customFormat="1" ht="15.75">
      <c r="A7" s="1166" t="s">
        <v>677</v>
      </c>
      <c r="B7" s="1167" t="s">
        <v>678</v>
      </c>
      <c r="C7" s="1168">
        <f>SUM(C8:C11)</f>
        <v>5168457</v>
      </c>
      <c r="D7" s="1168">
        <f>SUM(D8:D11)</f>
        <v>167080</v>
      </c>
    </row>
    <row r="8" spans="1:4" s="1146" customFormat="1" ht="15.75">
      <c r="A8" s="1169" t="s">
        <v>679</v>
      </c>
      <c r="B8" s="1170" t="s">
        <v>680</v>
      </c>
      <c r="C8" s="1171"/>
      <c r="D8" s="1171"/>
    </row>
    <row r="9" spans="1:4" s="1146" customFormat="1" ht="47.25">
      <c r="A9" s="1169" t="s">
        <v>681</v>
      </c>
      <c r="B9" s="1170" t="s">
        <v>682</v>
      </c>
      <c r="C9" s="1171"/>
      <c r="D9" s="1171"/>
    </row>
    <row r="10" spans="1:4" s="1146" customFormat="1" ht="15.75">
      <c r="A10" s="1169" t="s">
        <v>683</v>
      </c>
      <c r="B10" s="1170" t="s">
        <v>684</v>
      </c>
      <c r="C10" s="1171">
        <v>3551893</v>
      </c>
      <c r="D10" s="1171">
        <v>167080</v>
      </c>
    </row>
    <row r="11" spans="1:4" s="1146" customFormat="1" ht="15.75">
      <c r="A11" s="1169" t="s">
        <v>685</v>
      </c>
      <c r="B11" s="1170" t="s">
        <v>686</v>
      </c>
      <c r="C11" s="1171">
        <v>1616564</v>
      </c>
      <c r="D11" s="1171"/>
    </row>
    <row r="12" spans="1:4" s="1146" customFormat="1" ht="15.75">
      <c r="A12" s="1172" t="s">
        <v>687</v>
      </c>
      <c r="B12" s="1173" t="s">
        <v>688</v>
      </c>
      <c r="C12" s="1174">
        <f>SUM(C13+C18+C23+C28+C33)</f>
        <v>13860838</v>
      </c>
      <c r="D12" s="1174">
        <f>SUM(D13+D18+D23+D28+D33)</f>
        <v>360954</v>
      </c>
    </row>
    <row r="13" spans="1:4" s="1146" customFormat="1" ht="31.5">
      <c r="A13" s="1172" t="s">
        <v>689</v>
      </c>
      <c r="B13" s="1173" t="s">
        <v>690</v>
      </c>
      <c r="C13" s="1174">
        <f>SUM(C14:C17)</f>
        <v>0</v>
      </c>
      <c r="D13" s="1174">
        <f>SUM(D14:D17)</f>
        <v>0</v>
      </c>
    </row>
    <row r="14" spans="1:4" s="1146" customFormat="1" ht="31.5">
      <c r="A14" s="1169" t="s">
        <v>691</v>
      </c>
      <c r="B14" s="1170" t="s">
        <v>692</v>
      </c>
      <c r="C14" s="1171"/>
      <c r="D14" s="1171"/>
    </row>
    <row r="15" spans="1:4" s="1146" customFormat="1" ht="39" customHeight="1">
      <c r="A15" s="1169" t="s">
        <v>693</v>
      </c>
      <c r="B15" s="1170" t="s">
        <v>694</v>
      </c>
      <c r="C15" s="1171"/>
      <c r="D15" s="1171"/>
    </row>
    <row r="16" spans="1:4" s="1146" customFormat="1" ht="31.5">
      <c r="A16" s="1169" t="s">
        <v>695</v>
      </c>
      <c r="B16" s="1170" t="s">
        <v>436</v>
      </c>
      <c r="C16" s="1171"/>
      <c r="D16" s="1171"/>
    </row>
    <row r="17" spans="1:4" s="1146" customFormat="1" ht="15.75">
      <c r="A17" s="1169" t="s">
        <v>696</v>
      </c>
      <c r="B17" s="1170" t="s">
        <v>439</v>
      </c>
      <c r="C17" s="1171"/>
      <c r="D17" s="1171"/>
    </row>
    <row r="18" spans="1:4" s="1146" customFormat="1" ht="31.5">
      <c r="A18" s="1172" t="s">
        <v>697</v>
      </c>
      <c r="B18" s="1173" t="s">
        <v>440</v>
      </c>
      <c r="C18" s="1175">
        <f>SUM(C19:C22)</f>
        <v>13860838</v>
      </c>
      <c r="D18" s="1175">
        <f>SUM(D19:D22)</f>
        <v>360954</v>
      </c>
    </row>
    <row r="19" spans="1:4" s="1146" customFormat="1" ht="31.5">
      <c r="A19" s="1169" t="s">
        <v>698</v>
      </c>
      <c r="B19" s="1170" t="s">
        <v>441</v>
      </c>
      <c r="C19" s="1171"/>
      <c r="D19" s="1171"/>
    </row>
    <row r="20" spans="1:4" s="1146" customFormat="1" ht="47.25">
      <c r="A20" s="1169" t="s">
        <v>699</v>
      </c>
      <c r="B20" s="1170" t="s">
        <v>442</v>
      </c>
      <c r="C20" s="1171"/>
      <c r="D20" s="1171"/>
    </row>
    <row r="21" spans="1:4" s="1146" customFormat="1" ht="31.5">
      <c r="A21" s="1169" t="s">
        <v>700</v>
      </c>
      <c r="B21" s="1170" t="s">
        <v>443</v>
      </c>
      <c r="C21" s="1171"/>
      <c r="D21" s="1171"/>
    </row>
    <row r="22" spans="1:4" s="1146" customFormat="1" ht="15.75">
      <c r="A22" s="1169" t="s">
        <v>701</v>
      </c>
      <c r="B22" s="1170" t="s">
        <v>702</v>
      </c>
      <c r="C22" s="1171">
        <v>13860838</v>
      </c>
      <c r="D22" s="1171">
        <v>360954</v>
      </c>
    </row>
    <row r="23" spans="1:4" s="1146" customFormat="1" ht="15.75">
      <c r="A23" s="1172" t="s">
        <v>703</v>
      </c>
      <c r="B23" s="1173" t="s">
        <v>704</v>
      </c>
      <c r="C23" s="1176"/>
      <c r="D23" s="1176"/>
    </row>
    <row r="24" spans="1:4" s="1146" customFormat="1" ht="15.75">
      <c r="A24" s="1169" t="s">
        <v>705</v>
      </c>
      <c r="B24" s="1170" t="s">
        <v>706</v>
      </c>
      <c r="C24" s="1171"/>
      <c r="D24" s="1171"/>
    </row>
    <row r="25" spans="1:4" s="1146" customFormat="1" ht="31.5">
      <c r="A25" s="1169" t="s">
        <v>707</v>
      </c>
      <c r="B25" s="1170" t="s">
        <v>708</v>
      </c>
      <c r="C25" s="1171"/>
      <c r="D25" s="1171"/>
    </row>
    <row r="26" spans="1:4" s="1146" customFormat="1" ht="15.75">
      <c r="A26" s="1169" t="s">
        <v>709</v>
      </c>
      <c r="B26" s="1170" t="s">
        <v>710</v>
      </c>
      <c r="C26" s="1171"/>
      <c r="D26" s="1171"/>
    </row>
    <row r="27" spans="1:4" s="1146" customFormat="1" ht="15.75">
      <c r="A27" s="1169" t="s">
        <v>711</v>
      </c>
      <c r="B27" s="1170" t="s">
        <v>712</v>
      </c>
      <c r="C27" s="1171"/>
      <c r="D27" s="1171"/>
    </row>
    <row r="28" spans="1:4" s="1146" customFormat="1" ht="15.75">
      <c r="A28" s="1172" t="s">
        <v>713</v>
      </c>
      <c r="B28" s="1173" t="s">
        <v>714</v>
      </c>
      <c r="C28" s="1175">
        <f>SUM(C29:C32)</f>
        <v>0</v>
      </c>
      <c r="D28" s="1175">
        <f>SUM(D29:D32)</f>
        <v>0</v>
      </c>
    </row>
    <row r="29" spans="1:4" s="1146" customFormat="1" ht="15.75">
      <c r="A29" s="1169" t="s">
        <v>715</v>
      </c>
      <c r="B29" s="1170" t="s">
        <v>716</v>
      </c>
      <c r="C29" s="1171"/>
      <c r="D29" s="1171"/>
    </row>
    <row r="30" spans="1:4" s="1146" customFormat="1" ht="31.5">
      <c r="A30" s="1169" t="s">
        <v>717</v>
      </c>
      <c r="B30" s="1170" t="s">
        <v>718</v>
      </c>
      <c r="C30" s="1171"/>
      <c r="D30" s="1171"/>
    </row>
    <row r="31" spans="1:4" s="1146" customFormat="1" ht="15.75">
      <c r="A31" s="1169" t="s">
        <v>719</v>
      </c>
      <c r="B31" s="1170" t="s">
        <v>720</v>
      </c>
      <c r="C31" s="1171"/>
      <c r="D31" s="1171"/>
    </row>
    <row r="32" spans="1:4" s="1146" customFormat="1" ht="15.75">
      <c r="A32" s="1169" t="s">
        <v>721</v>
      </c>
      <c r="B32" s="1170" t="s">
        <v>722</v>
      </c>
      <c r="C32" s="1171"/>
      <c r="D32" s="1171"/>
    </row>
    <row r="33" spans="1:4" s="1146" customFormat="1" ht="15.75">
      <c r="A33" s="1172" t="s">
        <v>723</v>
      </c>
      <c r="B33" s="1173" t="s">
        <v>724</v>
      </c>
      <c r="C33" s="1176"/>
      <c r="D33" s="1176"/>
    </row>
    <row r="34" spans="1:4" s="1146" customFormat="1" ht="15.75">
      <c r="A34" s="1169" t="s">
        <v>725</v>
      </c>
      <c r="B34" s="1170" t="s">
        <v>726</v>
      </c>
      <c r="C34" s="1171"/>
      <c r="D34" s="1171"/>
    </row>
    <row r="35" spans="1:4" s="1146" customFormat="1" ht="47.25">
      <c r="A35" s="1169" t="s">
        <v>727</v>
      </c>
      <c r="B35" s="1170" t="s">
        <v>728</v>
      </c>
      <c r="C35" s="1171"/>
      <c r="D35" s="1171"/>
    </row>
    <row r="36" spans="1:4" s="1146" customFormat="1" ht="31.5">
      <c r="A36" s="1169" t="s">
        <v>729</v>
      </c>
      <c r="B36" s="1170" t="s">
        <v>730</v>
      </c>
      <c r="C36" s="1171"/>
      <c r="D36" s="1171"/>
    </row>
    <row r="37" spans="1:4" s="1146" customFormat="1" ht="15.75">
      <c r="A37" s="1169" t="s">
        <v>731</v>
      </c>
      <c r="B37" s="1170" t="s">
        <v>732</v>
      </c>
      <c r="C37" s="1171"/>
      <c r="D37" s="1171"/>
    </row>
    <row r="38" spans="1:4" s="1146" customFormat="1" ht="15.75">
      <c r="A38" s="1172" t="s">
        <v>733</v>
      </c>
      <c r="B38" s="1173" t="s">
        <v>734</v>
      </c>
      <c r="C38" s="1175">
        <f>SUM(C39+C44+C49)</f>
        <v>0</v>
      </c>
      <c r="D38" s="1175">
        <f>SUM(D39+D44+D49)</f>
        <v>0</v>
      </c>
    </row>
    <row r="39" spans="1:4" s="1146" customFormat="1" ht="15.75">
      <c r="A39" s="1172" t="s">
        <v>735</v>
      </c>
      <c r="B39" s="1173" t="s">
        <v>736</v>
      </c>
      <c r="C39" s="1175">
        <f>SUM(C40:C43)</f>
        <v>0</v>
      </c>
      <c r="D39" s="1175">
        <f>SUM(D40:D43)</f>
        <v>0</v>
      </c>
    </row>
    <row r="40" spans="1:4" s="1146" customFormat="1" ht="15.75">
      <c r="A40" s="1169" t="s">
        <v>737</v>
      </c>
      <c r="B40" s="1170" t="s">
        <v>738</v>
      </c>
      <c r="C40" s="1171"/>
      <c r="D40" s="1171"/>
    </row>
    <row r="41" spans="1:4" s="1146" customFormat="1" ht="31.5">
      <c r="A41" s="1169" t="s">
        <v>739</v>
      </c>
      <c r="B41" s="1170" t="s">
        <v>740</v>
      </c>
      <c r="C41" s="1171"/>
      <c r="D41" s="1171"/>
    </row>
    <row r="42" spans="1:4" s="1146" customFormat="1" ht="15.75">
      <c r="A42" s="1169" t="s">
        <v>741</v>
      </c>
      <c r="B42" s="1170" t="s">
        <v>742</v>
      </c>
      <c r="C42" s="1171"/>
      <c r="D42" s="1171"/>
    </row>
    <row r="43" spans="1:4" s="1146" customFormat="1" ht="15.75">
      <c r="A43" s="1169" t="s">
        <v>743</v>
      </c>
      <c r="B43" s="1170" t="s">
        <v>744</v>
      </c>
      <c r="C43" s="1171"/>
      <c r="D43" s="1171"/>
    </row>
    <row r="44" spans="1:4" s="1146" customFormat="1" ht="31.5">
      <c r="A44" s="1172" t="s">
        <v>745</v>
      </c>
      <c r="B44" s="1173" t="s">
        <v>746</v>
      </c>
      <c r="C44" s="1176"/>
      <c r="D44" s="1176"/>
    </row>
    <row r="45" spans="1:4" s="1146" customFormat="1" ht="31.5">
      <c r="A45" s="1169" t="s">
        <v>747</v>
      </c>
      <c r="B45" s="1170" t="s">
        <v>748</v>
      </c>
      <c r="C45" s="1171"/>
      <c r="D45" s="1171"/>
    </row>
    <row r="46" spans="1:4" s="1146" customFormat="1" ht="47.25">
      <c r="A46" s="1169" t="s">
        <v>749</v>
      </c>
      <c r="B46" s="1170" t="s">
        <v>750</v>
      </c>
      <c r="C46" s="1171"/>
      <c r="D46" s="1171"/>
    </row>
    <row r="47" spans="1:4" s="1146" customFormat="1" ht="31.5">
      <c r="A47" s="1169" t="s">
        <v>751</v>
      </c>
      <c r="B47" s="1170" t="s">
        <v>752</v>
      </c>
      <c r="C47" s="1171"/>
      <c r="D47" s="1171"/>
    </row>
    <row r="48" spans="1:4" s="1146" customFormat="1" ht="15.75">
      <c r="A48" s="1169" t="s">
        <v>753</v>
      </c>
      <c r="B48" s="1170" t="s">
        <v>754</v>
      </c>
      <c r="C48" s="1171"/>
      <c r="D48" s="1171"/>
    </row>
    <row r="49" spans="1:4" s="1146" customFormat="1" ht="31.5">
      <c r="A49" s="1172" t="s">
        <v>755</v>
      </c>
      <c r="B49" s="1173" t="s">
        <v>756</v>
      </c>
      <c r="C49" s="1176"/>
      <c r="D49" s="1176"/>
    </row>
    <row r="50" spans="1:4" s="1146" customFormat="1" ht="31.5">
      <c r="A50" s="1169" t="s">
        <v>757</v>
      </c>
      <c r="B50" s="1170" t="s">
        <v>758</v>
      </c>
      <c r="C50" s="1171"/>
      <c r="D50" s="1171"/>
    </row>
    <row r="51" spans="1:4" s="1146" customFormat="1" ht="47.25">
      <c r="A51" s="1169" t="s">
        <v>759</v>
      </c>
      <c r="B51" s="1170" t="s">
        <v>760</v>
      </c>
      <c r="C51" s="1171"/>
      <c r="D51" s="1171"/>
    </row>
    <row r="52" spans="1:4" s="1146" customFormat="1" ht="31.5">
      <c r="A52" s="1169" t="s">
        <v>761</v>
      </c>
      <c r="B52" s="1170" t="s">
        <v>762</v>
      </c>
      <c r="C52" s="1171"/>
      <c r="D52" s="1171"/>
    </row>
    <row r="53" spans="1:4" s="1146" customFormat="1" ht="15.75">
      <c r="A53" s="1169" t="s">
        <v>763</v>
      </c>
      <c r="B53" s="1170" t="s">
        <v>764</v>
      </c>
      <c r="C53" s="1171"/>
      <c r="D53" s="1171"/>
    </row>
    <row r="54" spans="1:4" s="1146" customFormat="1" ht="15.75">
      <c r="A54" s="1172" t="s">
        <v>765</v>
      </c>
      <c r="B54" s="1170" t="s">
        <v>766</v>
      </c>
      <c r="C54" s="1171"/>
      <c r="D54" s="1171"/>
    </row>
    <row r="55" spans="1:4" ht="47.25">
      <c r="A55" s="1172" t="s">
        <v>767</v>
      </c>
      <c r="B55" s="1173" t="s">
        <v>768</v>
      </c>
      <c r="C55" s="1175">
        <f>SUM(C7+C12+C38+C54)</f>
        <v>19029295</v>
      </c>
      <c r="D55" s="1175">
        <f>SUM(D7+D12+D38+D54)</f>
        <v>528034</v>
      </c>
    </row>
    <row r="56" spans="1:4" ht="15.75">
      <c r="A56" s="1172" t="s">
        <v>769</v>
      </c>
      <c r="B56" s="1170" t="s">
        <v>770</v>
      </c>
      <c r="C56" s="1177"/>
      <c r="D56" s="1177"/>
    </row>
    <row r="57" spans="1:4" ht="15.75">
      <c r="A57" s="1172" t="s">
        <v>771</v>
      </c>
      <c r="B57" s="1170" t="s">
        <v>772</v>
      </c>
      <c r="C57" s="1171"/>
      <c r="D57" s="1171"/>
    </row>
    <row r="58" spans="1:4" ht="31.5">
      <c r="A58" s="1172" t="s">
        <v>773</v>
      </c>
      <c r="B58" s="1173" t="s">
        <v>774</v>
      </c>
      <c r="C58" s="1175"/>
      <c r="D58" s="1175"/>
    </row>
    <row r="59" spans="1:4" ht="15.75">
      <c r="A59" s="1172" t="s">
        <v>775</v>
      </c>
      <c r="B59" s="1170" t="s">
        <v>776</v>
      </c>
      <c r="C59" s="1178"/>
      <c r="D59" s="1177"/>
    </row>
    <row r="60" spans="1:4" ht="15.75">
      <c r="A60" s="1172" t="s">
        <v>777</v>
      </c>
      <c r="B60" s="1170" t="s">
        <v>778</v>
      </c>
      <c r="C60" s="1178"/>
      <c r="D60" s="1177"/>
    </row>
    <row r="61" spans="1:4" ht="15.75">
      <c r="A61" s="1172" t="s">
        <v>779</v>
      </c>
      <c r="B61" s="1170" t="s">
        <v>780</v>
      </c>
      <c r="C61" s="1178"/>
      <c r="D61" s="1177">
        <v>513124</v>
      </c>
    </row>
    <row r="62" spans="1:4" ht="15.75">
      <c r="A62" s="1172" t="s">
        <v>781</v>
      </c>
      <c r="B62" s="1170" t="s">
        <v>782</v>
      </c>
      <c r="C62" s="1178"/>
      <c r="D62" s="1177"/>
    </row>
    <row r="63" spans="1:4" ht="15.75">
      <c r="A63" s="1172" t="s">
        <v>783</v>
      </c>
      <c r="B63" s="1170" t="s">
        <v>784</v>
      </c>
      <c r="C63" s="1178"/>
      <c r="D63" s="1177"/>
    </row>
    <row r="64" spans="1:4" ht="15.75">
      <c r="A64" s="1172" t="s">
        <v>785</v>
      </c>
      <c r="B64" s="1173" t="s">
        <v>786</v>
      </c>
      <c r="C64" s="1179"/>
      <c r="D64" s="1175">
        <f>SUM(D59:D63)</f>
        <v>513124</v>
      </c>
    </row>
    <row r="65" spans="1:4" ht="15.75">
      <c r="A65" s="1172" t="s">
        <v>787</v>
      </c>
      <c r="B65" s="1170" t="s">
        <v>788</v>
      </c>
      <c r="C65" s="1178"/>
      <c r="D65" s="1177"/>
    </row>
    <row r="66" spans="1:4" ht="15.75">
      <c r="A66" s="1172" t="s">
        <v>789</v>
      </c>
      <c r="B66" s="1170" t="s">
        <v>790</v>
      </c>
      <c r="C66" s="1178"/>
      <c r="D66" s="1177"/>
    </row>
    <row r="67" spans="1:4" ht="15.75">
      <c r="A67" s="1172" t="s">
        <v>791</v>
      </c>
      <c r="B67" s="1170" t="s">
        <v>792</v>
      </c>
      <c r="C67" s="1178"/>
      <c r="D67" s="1177">
        <v>564</v>
      </c>
    </row>
    <row r="68" spans="1:4" ht="15.75">
      <c r="A68" s="1172" t="s">
        <v>793</v>
      </c>
      <c r="B68" s="1173" t="s">
        <v>794</v>
      </c>
      <c r="C68" s="1179"/>
      <c r="D68" s="1175">
        <f>SUM(D65:D67)</f>
        <v>564</v>
      </c>
    </row>
    <row r="69" spans="1:4" ht="15.75">
      <c r="A69" s="1172" t="s">
        <v>795</v>
      </c>
      <c r="B69" s="1170" t="s">
        <v>796</v>
      </c>
      <c r="C69" s="1178"/>
      <c r="D69" s="1177"/>
    </row>
    <row r="70" spans="1:4" ht="47.25">
      <c r="A70" s="1172" t="s">
        <v>797</v>
      </c>
      <c r="B70" s="1170" t="s">
        <v>798</v>
      </c>
      <c r="C70" s="1178"/>
      <c r="D70" s="1177"/>
    </row>
    <row r="71" spans="1:4" ht="31.5">
      <c r="A71" s="1172" t="s">
        <v>799</v>
      </c>
      <c r="B71" s="1173" t="s">
        <v>800</v>
      </c>
      <c r="C71" s="1179"/>
      <c r="D71" s="1175"/>
    </row>
    <row r="72" spans="1:4" ht="15.75">
      <c r="A72" s="1172" t="s">
        <v>801</v>
      </c>
      <c r="B72" s="1173" t="s">
        <v>802</v>
      </c>
      <c r="C72" s="1178"/>
      <c r="D72" s="1177"/>
    </row>
    <row r="73" spans="1:4" ht="16.5" thickBot="1">
      <c r="A73" s="1180" t="s">
        <v>803</v>
      </c>
      <c r="B73" s="1173" t="s">
        <v>804</v>
      </c>
      <c r="C73" s="1181"/>
      <c r="D73" s="1181">
        <f>SUM(D68+D64+D58+D55+D71+D72+D56)</f>
        <v>1041722</v>
      </c>
    </row>
    <row r="75" ht="16.5" thickBot="1"/>
    <row r="76" spans="1:3" ht="15.75">
      <c r="A76" s="1490" t="s">
        <v>1133</v>
      </c>
      <c r="B76" s="1492" t="s">
        <v>6</v>
      </c>
      <c r="C76" s="1494" t="s">
        <v>1134</v>
      </c>
    </row>
    <row r="77" spans="1:3" ht="15.75">
      <c r="A77" s="1491"/>
      <c r="B77" s="1493"/>
      <c r="C77" s="1495"/>
    </row>
    <row r="78" spans="1:3" ht="16.5" thickBot="1">
      <c r="A78" s="1272" t="s">
        <v>649</v>
      </c>
      <c r="B78" s="1273" t="s">
        <v>15</v>
      </c>
      <c r="C78" s="1274" t="s">
        <v>650</v>
      </c>
    </row>
    <row r="79" spans="1:3" ht="15.75">
      <c r="A79" s="1275" t="s">
        <v>1135</v>
      </c>
      <c r="B79" s="1276" t="s">
        <v>678</v>
      </c>
      <c r="C79" s="1277">
        <f>'12.sz.m.mérleg'!E185</f>
        <v>2204204</v>
      </c>
    </row>
    <row r="80" spans="1:3" ht="15.75">
      <c r="A80" s="1275" t="s">
        <v>1136</v>
      </c>
      <c r="B80" s="1278" t="s">
        <v>680</v>
      </c>
      <c r="C80" s="1277">
        <f>'12.sz.m.mérleg'!E186</f>
        <v>0</v>
      </c>
    </row>
    <row r="81" spans="1:3" ht="15.75">
      <c r="A81" s="1275" t="s">
        <v>1137</v>
      </c>
      <c r="B81" s="1278" t="s">
        <v>682</v>
      </c>
      <c r="C81" s="1277">
        <f>'12.sz.m.mérleg'!E190</f>
        <v>14503886</v>
      </c>
    </row>
    <row r="82" spans="1:3" ht="15.75">
      <c r="A82" s="1275" t="s">
        <v>1138</v>
      </c>
      <c r="B82" s="1278" t="s">
        <v>684</v>
      </c>
      <c r="C82" s="1279">
        <f>'12.sz.m.mérleg'!E191</f>
        <v>-16138259</v>
      </c>
    </row>
    <row r="83" spans="1:3" ht="15.75">
      <c r="A83" s="1275" t="s">
        <v>1139</v>
      </c>
      <c r="B83" s="1278" t="s">
        <v>686</v>
      </c>
      <c r="C83" s="1279">
        <f>'12.sz.m.mérleg'!E192</f>
        <v>0</v>
      </c>
    </row>
    <row r="84" spans="1:3" ht="15.75">
      <c r="A84" s="1275" t="s">
        <v>1140</v>
      </c>
      <c r="B84" s="1278" t="s">
        <v>688</v>
      </c>
      <c r="C84" s="1279">
        <f>'12.sz.m.mérleg'!E193</f>
        <v>-4585852</v>
      </c>
    </row>
    <row r="85" spans="1:3" ht="15.75">
      <c r="A85" s="1275" t="s">
        <v>1141</v>
      </c>
      <c r="B85" s="1280" t="s">
        <v>690</v>
      </c>
      <c r="C85" s="1281">
        <f>SUM(C79:C84)</f>
        <v>-4016021</v>
      </c>
    </row>
    <row r="86" spans="1:3" ht="15.75">
      <c r="A86" s="1275" t="s">
        <v>1142</v>
      </c>
      <c r="B86" s="1278" t="s">
        <v>692</v>
      </c>
      <c r="C86" s="1282">
        <f>'12.sz.m.mérleg'!E220</f>
        <v>0</v>
      </c>
    </row>
    <row r="87" spans="1:3" ht="15.75">
      <c r="A87" s="1275" t="s">
        <v>1143</v>
      </c>
      <c r="B87" s="1278" t="s">
        <v>694</v>
      </c>
      <c r="C87" s="1279">
        <f>'12.sz.m.mérleg'!E244</f>
        <v>0</v>
      </c>
    </row>
    <row r="88" spans="1:3" ht="15.75">
      <c r="A88" s="1275" t="s">
        <v>1144</v>
      </c>
      <c r="B88" s="1278" t="s">
        <v>436</v>
      </c>
      <c r="C88" s="1279">
        <f>'12.sz.m.mérleg'!E255</f>
        <v>0</v>
      </c>
    </row>
    <row r="89" spans="1:3" ht="15.75">
      <c r="A89" s="1275" t="s">
        <v>1145</v>
      </c>
      <c r="B89" s="1280" t="s">
        <v>439</v>
      </c>
      <c r="C89" s="1281">
        <f>C86+C87+C88</f>
        <v>0</v>
      </c>
    </row>
    <row r="90" spans="1:3" ht="15.75">
      <c r="A90" s="1275" t="s">
        <v>1080</v>
      </c>
      <c r="B90" s="1280" t="s">
        <v>440</v>
      </c>
      <c r="C90" s="1279"/>
    </row>
    <row r="91" spans="1:3" ht="15.75">
      <c r="A91" s="1275" t="s">
        <v>1146</v>
      </c>
      <c r="B91" s="1280" t="s">
        <v>441</v>
      </c>
      <c r="C91" s="1283">
        <f>'12.sz.m.mérleg'!E261</f>
        <v>5057743</v>
      </c>
    </row>
    <row r="92" spans="1:3" ht="16.5" thickBot="1">
      <c r="A92" s="1284" t="s">
        <v>1147</v>
      </c>
      <c r="B92" s="1285" t="s">
        <v>442</v>
      </c>
      <c r="C92" s="1286">
        <f>C85+C89+C90+C91</f>
        <v>1041722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 scale="94" r:id="rId1"/>
  <headerFooter alignWithMargins="0">
    <oddHeader>&amp;R13/b. 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workbookViewId="0" topLeftCell="A69">
      <selection activeCell="C79" sqref="C79:C92"/>
    </sheetView>
  </sheetViews>
  <sheetFormatPr defaultColWidth="60.421875" defaultRowHeight="12.75"/>
  <cols>
    <col min="1" max="1" width="60.421875" style="1182" customWidth="1"/>
    <col min="2" max="2" width="5.57421875" style="1136" customWidth="1"/>
    <col min="3" max="3" width="13.28125" style="1182" customWidth="1"/>
    <col min="4" max="4" width="14.8515625" style="1182" customWidth="1"/>
    <col min="5" max="255" width="10.7109375" style="1131" customWidth="1"/>
    <col min="256" max="16384" width="60.421875" style="1131" customWidth="1"/>
  </cols>
  <sheetData>
    <row r="1" spans="1:256" ht="49.5" customHeight="1">
      <c r="A1" s="1502" t="s">
        <v>669</v>
      </c>
      <c r="B1" s="1502"/>
      <c r="C1" s="1502"/>
      <c r="D1" s="1502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  <c r="P1" s="1137"/>
      <c r="Q1" s="1137"/>
      <c r="R1" s="1137"/>
      <c r="S1" s="1137"/>
      <c r="T1" s="1137"/>
      <c r="U1" s="1137"/>
      <c r="V1" s="1137"/>
      <c r="W1" s="1137"/>
      <c r="X1" s="1137"/>
      <c r="Y1" s="1137"/>
      <c r="Z1" s="1137"/>
      <c r="AA1" s="1137"/>
      <c r="AB1" s="1137"/>
      <c r="AC1" s="1137"/>
      <c r="AD1" s="1137"/>
      <c r="AE1" s="1137"/>
      <c r="AF1" s="1137"/>
      <c r="AG1" s="1137"/>
      <c r="AH1" s="1137"/>
      <c r="AI1" s="1137"/>
      <c r="AJ1" s="1137"/>
      <c r="AK1" s="1137"/>
      <c r="AL1" s="1137"/>
      <c r="AM1" s="1137"/>
      <c r="AN1" s="1137"/>
      <c r="AO1" s="1137"/>
      <c r="AP1" s="1137"/>
      <c r="AQ1" s="1137"/>
      <c r="AR1" s="1137"/>
      <c r="AS1" s="1137"/>
      <c r="AT1" s="1137"/>
      <c r="AU1" s="1137"/>
      <c r="AV1" s="1137"/>
      <c r="AW1" s="1137"/>
      <c r="AX1" s="1137"/>
      <c r="AY1" s="1137"/>
      <c r="AZ1" s="1137"/>
      <c r="BA1" s="1137"/>
      <c r="BB1" s="1137"/>
      <c r="BC1" s="1137"/>
      <c r="BD1" s="1137"/>
      <c r="BE1" s="1137"/>
      <c r="BF1" s="1137"/>
      <c r="BG1" s="1137"/>
      <c r="BH1" s="1137"/>
      <c r="BI1" s="1137"/>
      <c r="BJ1" s="1137"/>
      <c r="BK1" s="1137"/>
      <c r="BL1" s="1137"/>
      <c r="BM1" s="1137"/>
      <c r="BN1" s="1137"/>
      <c r="BO1" s="1137"/>
      <c r="BP1" s="1137"/>
      <c r="BQ1" s="1137"/>
      <c r="BR1" s="1137"/>
      <c r="BS1" s="1137"/>
      <c r="BT1" s="1137"/>
      <c r="BU1" s="1137"/>
      <c r="BV1" s="1137"/>
      <c r="BW1" s="1137"/>
      <c r="BX1" s="1137"/>
      <c r="BY1" s="1137"/>
      <c r="BZ1" s="1137"/>
      <c r="CA1" s="1137"/>
      <c r="CB1" s="1137"/>
      <c r="CC1" s="1137"/>
      <c r="CD1" s="1137"/>
      <c r="CE1" s="1137"/>
      <c r="CF1" s="1137"/>
      <c r="CG1" s="1137"/>
      <c r="CH1" s="1137"/>
      <c r="CI1" s="1137"/>
      <c r="CJ1" s="1137"/>
      <c r="CK1" s="1137"/>
      <c r="CL1" s="1137"/>
      <c r="CM1" s="1137"/>
      <c r="CN1" s="1137"/>
      <c r="CO1" s="1137"/>
      <c r="CP1" s="1137"/>
      <c r="CQ1" s="1137"/>
      <c r="CR1" s="1137"/>
      <c r="CS1" s="1137"/>
      <c r="CT1" s="1137"/>
      <c r="CU1" s="1137"/>
      <c r="CV1" s="1137"/>
      <c r="CW1" s="1137"/>
      <c r="CX1" s="1137"/>
      <c r="CY1" s="1137"/>
      <c r="CZ1" s="1137"/>
      <c r="DA1" s="1137"/>
      <c r="DB1" s="1137"/>
      <c r="DC1" s="1137"/>
      <c r="DD1" s="1137"/>
      <c r="DE1" s="1137"/>
      <c r="DF1" s="1137"/>
      <c r="DG1" s="1137"/>
      <c r="DH1" s="1137"/>
      <c r="DI1" s="1137"/>
      <c r="DJ1" s="1137"/>
      <c r="DK1" s="1137"/>
      <c r="DL1" s="1137"/>
      <c r="DM1" s="1137"/>
      <c r="DN1" s="1137"/>
      <c r="DO1" s="1137"/>
      <c r="DP1" s="1137"/>
      <c r="DQ1" s="1137"/>
      <c r="DR1" s="1137"/>
      <c r="DS1" s="1137"/>
      <c r="DT1" s="1137"/>
      <c r="DU1" s="1137"/>
      <c r="DV1" s="1137"/>
      <c r="DW1" s="1137"/>
      <c r="DX1" s="1137"/>
      <c r="DY1" s="1137"/>
      <c r="DZ1" s="1137"/>
      <c r="EA1" s="1137"/>
      <c r="EB1" s="1137"/>
      <c r="EC1" s="1137"/>
      <c r="ED1" s="1137"/>
      <c r="EE1" s="1137"/>
      <c r="EF1" s="1137"/>
      <c r="EG1" s="1137"/>
      <c r="EH1" s="1137"/>
      <c r="EI1" s="1137"/>
      <c r="EJ1" s="1137"/>
      <c r="EK1" s="1137"/>
      <c r="EL1" s="1137"/>
      <c r="EM1" s="1137"/>
      <c r="EN1" s="1137"/>
      <c r="EO1" s="1137"/>
      <c r="EP1" s="1137"/>
      <c r="EQ1" s="1137"/>
      <c r="ER1" s="1137"/>
      <c r="ES1" s="1137"/>
      <c r="ET1" s="1137"/>
      <c r="EU1" s="1137"/>
      <c r="EV1" s="1137"/>
      <c r="EW1" s="1137"/>
      <c r="EX1" s="1137"/>
      <c r="EY1" s="1137"/>
      <c r="EZ1" s="1137"/>
      <c r="FA1" s="1137"/>
      <c r="FB1" s="1137"/>
      <c r="FC1" s="1137"/>
      <c r="FD1" s="1137"/>
      <c r="FE1" s="1137"/>
      <c r="FF1" s="1137"/>
      <c r="FG1" s="1137"/>
      <c r="FH1" s="1137"/>
      <c r="FI1" s="1137"/>
      <c r="FJ1" s="1137"/>
      <c r="FK1" s="1137"/>
      <c r="FL1" s="1137"/>
      <c r="FM1" s="1137"/>
      <c r="FN1" s="1137"/>
      <c r="FO1" s="1137"/>
      <c r="FP1" s="1137"/>
      <c r="FQ1" s="1137"/>
      <c r="FR1" s="1137"/>
      <c r="FS1" s="1137"/>
      <c r="FT1" s="1137"/>
      <c r="FU1" s="1137"/>
      <c r="FV1" s="1137"/>
      <c r="FW1" s="1137"/>
      <c r="FX1" s="1137"/>
      <c r="FY1" s="1137"/>
      <c r="FZ1" s="1137"/>
      <c r="GA1" s="1137"/>
      <c r="GB1" s="1137"/>
      <c r="GC1" s="1137"/>
      <c r="GD1" s="1137"/>
      <c r="GE1" s="1137"/>
      <c r="GF1" s="1137"/>
      <c r="GG1" s="1137"/>
      <c r="GH1" s="1137"/>
      <c r="GI1" s="1137"/>
      <c r="GJ1" s="1137"/>
      <c r="GK1" s="1137"/>
      <c r="GL1" s="1137"/>
      <c r="GM1" s="1137"/>
      <c r="GN1" s="1137"/>
      <c r="GO1" s="1137"/>
      <c r="GP1" s="1137"/>
      <c r="GQ1" s="1137"/>
      <c r="GR1" s="1137"/>
      <c r="GS1" s="1137"/>
      <c r="GT1" s="1137"/>
      <c r="GU1" s="1137"/>
      <c r="GV1" s="1137"/>
      <c r="GW1" s="1137"/>
      <c r="GX1" s="1137"/>
      <c r="GY1" s="1137"/>
      <c r="GZ1" s="1137"/>
      <c r="HA1" s="1137"/>
      <c r="HB1" s="1137"/>
      <c r="HC1" s="1137"/>
      <c r="HD1" s="1137"/>
      <c r="HE1" s="1137"/>
      <c r="HF1" s="1137"/>
      <c r="HG1" s="1137"/>
      <c r="HH1" s="1137"/>
      <c r="HI1" s="1137"/>
      <c r="HJ1" s="1137"/>
      <c r="HK1" s="1137"/>
      <c r="HL1" s="1137"/>
      <c r="HM1" s="1137"/>
      <c r="HN1" s="1137"/>
      <c r="HO1" s="1137"/>
      <c r="HP1" s="1137"/>
      <c r="HQ1" s="1137"/>
      <c r="HR1" s="1137"/>
      <c r="HS1" s="1137"/>
      <c r="HT1" s="1137"/>
      <c r="HU1" s="1137"/>
      <c r="HV1" s="1137"/>
      <c r="HW1" s="1137"/>
      <c r="HX1" s="1137"/>
      <c r="HY1" s="1137"/>
      <c r="HZ1" s="1137"/>
      <c r="IA1" s="1137"/>
      <c r="IB1" s="1137"/>
      <c r="IC1" s="1137"/>
      <c r="ID1" s="1137"/>
      <c r="IE1" s="1137"/>
      <c r="IF1" s="1137"/>
      <c r="IG1" s="1137"/>
      <c r="IH1" s="1137"/>
      <c r="II1" s="1137"/>
      <c r="IJ1" s="1137"/>
      <c r="IK1" s="1137"/>
      <c r="IL1" s="1137"/>
      <c r="IM1" s="1137"/>
      <c r="IN1" s="1137"/>
      <c r="IO1" s="1137"/>
      <c r="IP1" s="1137"/>
      <c r="IQ1" s="1137"/>
      <c r="IR1" s="1137"/>
      <c r="IS1" s="1137"/>
      <c r="IT1" s="1137"/>
      <c r="IU1" s="1137"/>
      <c r="IV1" s="1137"/>
    </row>
    <row r="2" spans="1:256" ht="16.5" thickBot="1">
      <c r="A2" s="1162" t="s">
        <v>221</v>
      </c>
      <c r="B2" s="1163"/>
      <c r="C2" s="1503" t="s">
        <v>671</v>
      </c>
      <c r="D2" s="1503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1137"/>
      <c r="W2" s="1137"/>
      <c r="X2" s="1137"/>
      <c r="Y2" s="1137"/>
      <c r="Z2" s="1137"/>
      <c r="AA2" s="1137"/>
      <c r="AB2" s="1137"/>
      <c r="AC2" s="1137"/>
      <c r="AD2" s="1137"/>
      <c r="AE2" s="1137"/>
      <c r="AF2" s="1137"/>
      <c r="AG2" s="1137"/>
      <c r="AH2" s="1137"/>
      <c r="AI2" s="1137"/>
      <c r="AJ2" s="1137"/>
      <c r="AK2" s="1137"/>
      <c r="AL2" s="1137"/>
      <c r="AM2" s="1137"/>
      <c r="AN2" s="1137"/>
      <c r="AO2" s="1137"/>
      <c r="AP2" s="1137"/>
      <c r="AQ2" s="1137"/>
      <c r="AR2" s="1137"/>
      <c r="AS2" s="1137"/>
      <c r="AT2" s="1137"/>
      <c r="AU2" s="1137"/>
      <c r="AV2" s="1137"/>
      <c r="AW2" s="1137"/>
      <c r="AX2" s="1137"/>
      <c r="AY2" s="1137"/>
      <c r="AZ2" s="1137"/>
      <c r="BA2" s="1137"/>
      <c r="BB2" s="1137"/>
      <c r="BC2" s="1137"/>
      <c r="BD2" s="1137"/>
      <c r="BE2" s="1137"/>
      <c r="BF2" s="1137"/>
      <c r="BG2" s="1137"/>
      <c r="BH2" s="1137"/>
      <c r="BI2" s="1137"/>
      <c r="BJ2" s="1137"/>
      <c r="BK2" s="1137"/>
      <c r="BL2" s="1137"/>
      <c r="BM2" s="1137"/>
      <c r="BN2" s="1137"/>
      <c r="BO2" s="1137"/>
      <c r="BP2" s="1137"/>
      <c r="BQ2" s="1137"/>
      <c r="BR2" s="1137"/>
      <c r="BS2" s="1137"/>
      <c r="BT2" s="1137"/>
      <c r="BU2" s="1137"/>
      <c r="BV2" s="1137"/>
      <c r="BW2" s="1137"/>
      <c r="BX2" s="1137"/>
      <c r="BY2" s="1137"/>
      <c r="BZ2" s="1137"/>
      <c r="CA2" s="1137"/>
      <c r="CB2" s="1137"/>
      <c r="CC2" s="1137"/>
      <c r="CD2" s="1137"/>
      <c r="CE2" s="1137"/>
      <c r="CF2" s="1137"/>
      <c r="CG2" s="1137"/>
      <c r="CH2" s="1137"/>
      <c r="CI2" s="1137"/>
      <c r="CJ2" s="1137"/>
      <c r="CK2" s="1137"/>
      <c r="CL2" s="1137"/>
      <c r="CM2" s="1137"/>
      <c r="CN2" s="1137"/>
      <c r="CO2" s="1137"/>
      <c r="CP2" s="1137"/>
      <c r="CQ2" s="1137"/>
      <c r="CR2" s="1137"/>
      <c r="CS2" s="1137"/>
      <c r="CT2" s="1137"/>
      <c r="CU2" s="1137"/>
      <c r="CV2" s="1137"/>
      <c r="CW2" s="1137"/>
      <c r="CX2" s="1137"/>
      <c r="CY2" s="1137"/>
      <c r="CZ2" s="1137"/>
      <c r="DA2" s="1137"/>
      <c r="DB2" s="1137"/>
      <c r="DC2" s="1137"/>
      <c r="DD2" s="1137"/>
      <c r="DE2" s="1137"/>
      <c r="DF2" s="1137"/>
      <c r="DG2" s="1137"/>
      <c r="DH2" s="1137"/>
      <c r="DI2" s="1137"/>
      <c r="DJ2" s="1137"/>
      <c r="DK2" s="1137"/>
      <c r="DL2" s="1137"/>
      <c r="DM2" s="1137"/>
      <c r="DN2" s="1137"/>
      <c r="DO2" s="1137"/>
      <c r="DP2" s="1137"/>
      <c r="DQ2" s="1137"/>
      <c r="DR2" s="1137"/>
      <c r="DS2" s="1137"/>
      <c r="DT2" s="1137"/>
      <c r="DU2" s="1137"/>
      <c r="DV2" s="1137"/>
      <c r="DW2" s="1137"/>
      <c r="DX2" s="1137"/>
      <c r="DY2" s="1137"/>
      <c r="DZ2" s="1137"/>
      <c r="EA2" s="1137"/>
      <c r="EB2" s="1137"/>
      <c r="EC2" s="1137"/>
      <c r="ED2" s="1137"/>
      <c r="EE2" s="1137"/>
      <c r="EF2" s="1137"/>
      <c r="EG2" s="1137"/>
      <c r="EH2" s="1137"/>
      <c r="EI2" s="1137"/>
      <c r="EJ2" s="1137"/>
      <c r="EK2" s="1137"/>
      <c r="EL2" s="1137"/>
      <c r="EM2" s="1137"/>
      <c r="EN2" s="1137"/>
      <c r="EO2" s="1137"/>
      <c r="EP2" s="1137"/>
      <c r="EQ2" s="1137"/>
      <c r="ER2" s="1137"/>
      <c r="ES2" s="1137"/>
      <c r="ET2" s="1137"/>
      <c r="EU2" s="1137"/>
      <c r="EV2" s="1137"/>
      <c r="EW2" s="1137"/>
      <c r="EX2" s="1137"/>
      <c r="EY2" s="1137"/>
      <c r="EZ2" s="1137"/>
      <c r="FA2" s="1137"/>
      <c r="FB2" s="1137"/>
      <c r="FC2" s="1137"/>
      <c r="FD2" s="1137"/>
      <c r="FE2" s="1137"/>
      <c r="FF2" s="1137"/>
      <c r="FG2" s="1137"/>
      <c r="FH2" s="1137"/>
      <c r="FI2" s="1137"/>
      <c r="FJ2" s="1137"/>
      <c r="FK2" s="1137"/>
      <c r="FL2" s="1137"/>
      <c r="FM2" s="1137"/>
      <c r="FN2" s="1137"/>
      <c r="FO2" s="1137"/>
      <c r="FP2" s="1137"/>
      <c r="FQ2" s="1137"/>
      <c r="FR2" s="1137"/>
      <c r="FS2" s="1137"/>
      <c r="FT2" s="1137"/>
      <c r="FU2" s="1137"/>
      <c r="FV2" s="1137"/>
      <c r="FW2" s="1137"/>
      <c r="FX2" s="1137"/>
      <c r="FY2" s="1137"/>
      <c r="FZ2" s="1137"/>
      <c r="GA2" s="1137"/>
      <c r="GB2" s="1137"/>
      <c r="GC2" s="1137"/>
      <c r="GD2" s="1137"/>
      <c r="GE2" s="1137"/>
      <c r="GF2" s="1137"/>
      <c r="GG2" s="1137"/>
      <c r="GH2" s="1137"/>
      <c r="GI2" s="1137"/>
      <c r="GJ2" s="1137"/>
      <c r="GK2" s="1137"/>
      <c r="GL2" s="1137"/>
      <c r="GM2" s="1137"/>
      <c r="GN2" s="1137"/>
      <c r="GO2" s="1137"/>
      <c r="GP2" s="1137"/>
      <c r="GQ2" s="1137"/>
      <c r="GR2" s="1137"/>
      <c r="GS2" s="1137"/>
      <c r="GT2" s="1137"/>
      <c r="GU2" s="1137"/>
      <c r="GV2" s="1137"/>
      <c r="GW2" s="1137"/>
      <c r="GX2" s="1137"/>
      <c r="GY2" s="1137"/>
      <c r="GZ2" s="1137"/>
      <c r="HA2" s="1137"/>
      <c r="HB2" s="1137"/>
      <c r="HC2" s="1137"/>
      <c r="HD2" s="1137"/>
      <c r="HE2" s="1137"/>
      <c r="HF2" s="1137"/>
      <c r="HG2" s="1137"/>
      <c r="HH2" s="1137"/>
      <c r="HI2" s="1137"/>
      <c r="HJ2" s="1137"/>
      <c r="HK2" s="1137"/>
      <c r="HL2" s="1137"/>
      <c r="HM2" s="1137"/>
      <c r="HN2" s="1137"/>
      <c r="HO2" s="1137"/>
      <c r="HP2" s="1137"/>
      <c r="HQ2" s="1137"/>
      <c r="HR2" s="1137"/>
      <c r="HS2" s="1137"/>
      <c r="HT2" s="1137"/>
      <c r="HU2" s="1137"/>
      <c r="HV2" s="1137"/>
      <c r="HW2" s="1137"/>
      <c r="HX2" s="1137"/>
      <c r="HY2" s="1137"/>
      <c r="HZ2" s="1137"/>
      <c r="IA2" s="1137"/>
      <c r="IB2" s="1137"/>
      <c r="IC2" s="1137"/>
      <c r="ID2" s="1137"/>
      <c r="IE2" s="1137"/>
      <c r="IF2" s="1137"/>
      <c r="IG2" s="1137"/>
      <c r="IH2" s="1137"/>
      <c r="II2" s="1137"/>
      <c r="IJ2" s="1137"/>
      <c r="IK2" s="1137"/>
      <c r="IL2" s="1137"/>
      <c r="IM2" s="1137"/>
      <c r="IN2" s="1137"/>
      <c r="IO2" s="1137"/>
      <c r="IP2" s="1137"/>
      <c r="IQ2" s="1137"/>
      <c r="IR2" s="1137"/>
      <c r="IS2" s="1137"/>
      <c r="IT2" s="1137"/>
      <c r="IU2" s="1137"/>
      <c r="IV2" s="1137"/>
    </row>
    <row r="3" spans="1:256" ht="15.75" customHeight="1" thickBot="1">
      <c r="A3" s="1504" t="s">
        <v>672</v>
      </c>
      <c r="B3" s="1505" t="s">
        <v>6</v>
      </c>
      <c r="C3" s="1506" t="s">
        <v>673</v>
      </c>
      <c r="D3" s="1506" t="s">
        <v>674</v>
      </c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  <c r="T3" s="1137"/>
      <c r="U3" s="1137"/>
      <c r="V3" s="1137"/>
      <c r="W3" s="1137"/>
      <c r="X3" s="1137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7"/>
      <c r="AJ3" s="1137"/>
      <c r="AK3" s="1137"/>
      <c r="AL3" s="1137"/>
      <c r="AM3" s="1137"/>
      <c r="AN3" s="1137"/>
      <c r="AO3" s="1137"/>
      <c r="AP3" s="1137"/>
      <c r="AQ3" s="1137"/>
      <c r="AR3" s="1137"/>
      <c r="AS3" s="1137"/>
      <c r="AT3" s="1137"/>
      <c r="AU3" s="1137"/>
      <c r="AV3" s="1137"/>
      <c r="AW3" s="1137"/>
      <c r="AX3" s="1137"/>
      <c r="AY3" s="1137"/>
      <c r="AZ3" s="1137"/>
      <c r="BA3" s="1137"/>
      <c r="BB3" s="1137"/>
      <c r="BC3" s="1137"/>
      <c r="BD3" s="1137"/>
      <c r="BE3" s="1137"/>
      <c r="BF3" s="1137"/>
      <c r="BG3" s="1137"/>
      <c r="BH3" s="1137"/>
      <c r="BI3" s="1137"/>
      <c r="BJ3" s="1137"/>
      <c r="BK3" s="1137"/>
      <c r="BL3" s="1137"/>
      <c r="BM3" s="1137"/>
      <c r="BN3" s="1137"/>
      <c r="BO3" s="1137"/>
      <c r="BP3" s="1137"/>
      <c r="BQ3" s="1137"/>
      <c r="BR3" s="1137"/>
      <c r="BS3" s="1137"/>
      <c r="BT3" s="1137"/>
      <c r="BU3" s="1137"/>
      <c r="BV3" s="1137"/>
      <c r="BW3" s="1137"/>
      <c r="BX3" s="1137"/>
      <c r="BY3" s="1137"/>
      <c r="BZ3" s="1137"/>
      <c r="CA3" s="1137"/>
      <c r="CB3" s="1137"/>
      <c r="CC3" s="1137"/>
      <c r="CD3" s="1137"/>
      <c r="CE3" s="1137"/>
      <c r="CF3" s="1137"/>
      <c r="CG3" s="1137"/>
      <c r="CH3" s="1137"/>
      <c r="CI3" s="1137"/>
      <c r="CJ3" s="1137"/>
      <c r="CK3" s="1137"/>
      <c r="CL3" s="1137"/>
      <c r="CM3" s="1137"/>
      <c r="CN3" s="1137"/>
      <c r="CO3" s="1137"/>
      <c r="CP3" s="1137"/>
      <c r="CQ3" s="1137"/>
      <c r="CR3" s="1137"/>
      <c r="CS3" s="1137"/>
      <c r="CT3" s="1137"/>
      <c r="CU3" s="1137"/>
      <c r="CV3" s="1137"/>
      <c r="CW3" s="1137"/>
      <c r="CX3" s="1137"/>
      <c r="CY3" s="1137"/>
      <c r="CZ3" s="1137"/>
      <c r="DA3" s="1137"/>
      <c r="DB3" s="1137"/>
      <c r="DC3" s="1137"/>
      <c r="DD3" s="1137"/>
      <c r="DE3" s="1137"/>
      <c r="DF3" s="1137"/>
      <c r="DG3" s="1137"/>
      <c r="DH3" s="1137"/>
      <c r="DI3" s="1137"/>
      <c r="DJ3" s="1137"/>
      <c r="DK3" s="1137"/>
      <c r="DL3" s="1137"/>
      <c r="DM3" s="1137"/>
      <c r="DN3" s="1137"/>
      <c r="DO3" s="1137"/>
      <c r="DP3" s="1137"/>
      <c r="DQ3" s="1137"/>
      <c r="DR3" s="1137"/>
      <c r="DS3" s="1137"/>
      <c r="DT3" s="1137"/>
      <c r="DU3" s="1137"/>
      <c r="DV3" s="1137"/>
      <c r="DW3" s="1137"/>
      <c r="DX3" s="1137"/>
      <c r="DY3" s="1137"/>
      <c r="DZ3" s="1137"/>
      <c r="EA3" s="1137"/>
      <c r="EB3" s="1137"/>
      <c r="EC3" s="1137"/>
      <c r="ED3" s="1137"/>
      <c r="EE3" s="1137"/>
      <c r="EF3" s="1137"/>
      <c r="EG3" s="1137"/>
      <c r="EH3" s="1137"/>
      <c r="EI3" s="1137"/>
      <c r="EJ3" s="1137"/>
      <c r="EK3" s="1137"/>
      <c r="EL3" s="1137"/>
      <c r="EM3" s="1137"/>
      <c r="EN3" s="1137"/>
      <c r="EO3" s="1137"/>
      <c r="EP3" s="1137"/>
      <c r="EQ3" s="1137"/>
      <c r="ER3" s="1137"/>
      <c r="ES3" s="1137"/>
      <c r="ET3" s="1137"/>
      <c r="EU3" s="1137"/>
      <c r="EV3" s="1137"/>
      <c r="EW3" s="1137"/>
      <c r="EX3" s="1137"/>
      <c r="EY3" s="1137"/>
      <c r="EZ3" s="1137"/>
      <c r="FA3" s="1137"/>
      <c r="FB3" s="1137"/>
      <c r="FC3" s="1137"/>
      <c r="FD3" s="1137"/>
      <c r="FE3" s="1137"/>
      <c r="FF3" s="1137"/>
      <c r="FG3" s="1137"/>
      <c r="FH3" s="1137"/>
      <c r="FI3" s="1137"/>
      <c r="FJ3" s="1137"/>
      <c r="FK3" s="1137"/>
      <c r="FL3" s="1137"/>
      <c r="FM3" s="1137"/>
      <c r="FN3" s="1137"/>
      <c r="FO3" s="1137"/>
      <c r="FP3" s="1137"/>
      <c r="FQ3" s="1137"/>
      <c r="FR3" s="1137"/>
      <c r="FS3" s="1137"/>
      <c r="FT3" s="1137"/>
      <c r="FU3" s="1137"/>
      <c r="FV3" s="1137"/>
      <c r="FW3" s="1137"/>
      <c r="FX3" s="1137"/>
      <c r="FY3" s="1137"/>
      <c r="FZ3" s="1137"/>
      <c r="GA3" s="1137"/>
      <c r="GB3" s="1137"/>
      <c r="GC3" s="1137"/>
      <c r="GD3" s="1137"/>
      <c r="GE3" s="1137"/>
      <c r="GF3" s="1137"/>
      <c r="GG3" s="1137"/>
      <c r="GH3" s="1137"/>
      <c r="GI3" s="1137"/>
      <c r="GJ3" s="1137"/>
      <c r="GK3" s="1137"/>
      <c r="GL3" s="1137"/>
      <c r="GM3" s="1137"/>
      <c r="GN3" s="1137"/>
      <c r="GO3" s="1137"/>
      <c r="GP3" s="1137"/>
      <c r="GQ3" s="1137"/>
      <c r="GR3" s="1137"/>
      <c r="GS3" s="1137"/>
      <c r="GT3" s="1137"/>
      <c r="GU3" s="1137"/>
      <c r="GV3" s="1137"/>
      <c r="GW3" s="1137"/>
      <c r="GX3" s="1137"/>
      <c r="GY3" s="1137"/>
      <c r="GZ3" s="1137"/>
      <c r="HA3" s="1137"/>
      <c r="HB3" s="1137"/>
      <c r="HC3" s="1137"/>
      <c r="HD3" s="1137"/>
      <c r="HE3" s="1137"/>
      <c r="HF3" s="1137"/>
      <c r="HG3" s="1137"/>
      <c r="HH3" s="1137"/>
      <c r="HI3" s="1137"/>
      <c r="HJ3" s="1137"/>
      <c r="HK3" s="1137"/>
      <c r="HL3" s="1137"/>
      <c r="HM3" s="1137"/>
      <c r="HN3" s="1137"/>
      <c r="HO3" s="1137"/>
      <c r="HP3" s="1137"/>
      <c r="HQ3" s="1137"/>
      <c r="HR3" s="1137"/>
      <c r="HS3" s="1137"/>
      <c r="HT3" s="1137"/>
      <c r="HU3" s="1137"/>
      <c r="HV3" s="1137"/>
      <c r="HW3" s="1137"/>
      <c r="HX3" s="1137"/>
      <c r="HY3" s="1137"/>
      <c r="HZ3" s="1137"/>
      <c r="IA3" s="1137"/>
      <c r="IB3" s="1137"/>
      <c r="IC3" s="1137"/>
      <c r="ID3" s="1137"/>
      <c r="IE3" s="1137"/>
      <c r="IF3" s="1137"/>
      <c r="IG3" s="1137"/>
      <c r="IH3" s="1137"/>
      <c r="II3" s="1137"/>
      <c r="IJ3" s="1137"/>
      <c r="IK3" s="1137"/>
      <c r="IL3" s="1137"/>
      <c r="IM3" s="1137"/>
      <c r="IN3" s="1137"/>
      <c r="IO3" s="1137"/>
      <c r="IP3" s="1137"/>
      <c r="IQ3" s="1137"/>
      <c r="IR3" s="1137"/>
      <c r="IS3" s="1137"/>
      <c r="IT3" s="1137"/>
      <c r="IU3" s="1137"/>
      <c r="IV3" s="1137"/>
    </row>
    <row r="4" spans="1:256" ht="11.25" customHeight="1" thickBot="1">
      <c r="A4" s="1504"/>
      <c r="B4" s="1505"/>
      <c r="C4" s="1506"/>
      <c r="D4" s="1506"/>
      <c r="E4" s="1137"/>
      <c r="F4" s="1137"/>
      <c r="G4" s="1137"/>
      <c r="H4" s="1137"/>
      <c r="I4" s="1137"/>
      <c r="J4" s="1137"/>
      <c r="K4" s="1137"/>
      <c r="L4" s="1137"/>
      <c r="M4" s="1137"/>
      <c r="N4" s="1137"/>
      <c r="O4" s="1137"/>
      <c r="P4" s="1137"/>
      <c r="Q4" s="1137"/>
      <c r="R4" s="1137"/>
      <c r="S4" s="1137"/>
      <c r="T4" s="1137"/>
      <c r="U4" s="1137"/>
      <c r="V4" s="1137"/>
      <c r="W4" s="1137"/>
      <c r="X4" s="1137"/>
      <c r="Y4" s="1137"/>
      <c r="Z4" s="1137"/>
      <c r="AA4" s="1137"/>
      <c r="AB4" s="1137"/>
      <c r="AC4" s="1137"/>
      <c r="AD4" s="1137"/>
      <c r="AE4" s="1137"/>
      <c r="AF4" s="1137"/>
      <c r="AG4" s="1137"/>
      <c r="AH4" s="1137"/>
      <c r="AI4" s="1137"/>
      <c r="AJ4" s="1137"/>
      <c r="AK4" s="1137"/>
      <c r="AL4" s="1137"/>
      <c r="AM4" s="1137"/>
      <c r="AN4" s="1137"/>
      <c r="AO4" s="1137"/>
      <c r="AP4" s="1137"/>
      <c r="AQ4" s="1137"/>
      <c r="AR4" s="1137"/>
      <c r="AS4" s="1137"/>
      <c r="AT4" s="1137"/>
      <c r="AU4" s="1137"/>
      <c r="AV4" s="1137"/>
      <c r="AW4" s="1137"/>
      <c r="AX4" s="1137"/>
      <c r="AY4" s="1137"/>
      <c r="AZ4" s="1137"/>
      <c r="BA4" s="1137"/>
      <c r="BB4" s="1137"/>
      <c r="BC4" s="1137"/>
      <c r="BD4" s="1137"/>
      <c r="BE4" s="1137"/>
      <c r="BF4" s="1137"/>
      <c r="BG4" s="1137"/>
      <c r="BH4" s="1137"/>
      <c r="BI4" s="1137"/>
      <c r="BJ4" s="1137"/>
      <c r="BK4" s="1137"/>
      <c r="BL4" s="1137"/>
      <c r="BM4" s="1137"/>
      <c r="BN4" s="1137"/>
      <c r="BO4" s="1137"/>
      <c r="BP4" s="1137"/>
      <c r="BQ4" s="1137"/>
      <c r="BR4" s="1137"/>
      <c r="BS4" s="1137"/>
      <c r="BT4" s="1137"/>
      <c r="BU4" s="1137"/>
      <c r="BV4" s="1137"/>
      <c r="BW4" s="1137"/>
      <c r="BX4" s="1137"/>
      <c r="BY4" s="1137"/>
      <c r="BZ4" s="1137"/>
      <c r="CA4" s="1137"/>
      <c r="CB4" s="1137"/>
      <c r="CC4" s="1137"/>
      <c r="CD4" s="1137"/>
      <c r="CE4" s="1137"/>
      <c r="CF4" s="1137"/>
      <c r="CG4" s="1137"/>
      <c r="CH4" s="1137"/>
      <c r="CI4" s="1137"/>
      <c r="CJ4" s="1137"/>
      <c r="CK4" s="1137"/>
      <c r="CL4" s="1137"/>
      <c r="CM4" s="1137"/>
      <c r="CN4" s="1137"/>
      <c r="CO4" s="1137"/>
      <c r="CP4" s="1137"/>
      <c r="CQ4" s="1137"/>
      <c r="CR4" s="1137"/>
      <c r="CS4" s="1137"/>
      <c r="CT4" s="1137"/>
      <c r="CU4" s="1137"/>
      <c r="CV4" s="1137"/>
      <c r="CW4" s="1137"/>
      <c r="CX4" s="1137"/>
      <c r="CY4" s="1137"/>
      <c r="CZ4" s="1137"/>
      <c r="DA4" s="1137"/>
      <c r="DB4" s="1137"/>
      <c r="DC4" s="1137"/>
      <c r="DD4" s="1137"/>
      <c r="DE4" s="1137"/>
      <c r="DF4" s="1137"/>
      <c r="DG4" s="1137"/>
      <c r="DH4" s="1137"/>
      <c r="DI4" s="1137"/>
      <c r="DJ4" s="1137"/>
      <c r="DK4" s="1137"/>
      <c r="DL4" s="1137"/>
      <c r="DM4" s="1137"/>
      <c r="DN4" s="1137"/>
      <c r="DO4" s="1137"/>
      <c r="DP4" s="1137"/>
      <c r="DQ4" s="1137"/>
      <c r="DR4" s="1137"/>
      <c r="DS4" s="1137"/>
      <c r="DT4" s="1137"/>
      <c r="DU4" s="1137"/>
      <c r="DV4" s="1137"/>
      <c r="DW4" s="1137"/>
      <c r="DX4" s="1137"/>
      <c r="DY4" s="1137"/>
      <c r="DZ4" s="1137"/>
      <c r="EA4" s="1137"/>
      <c r="EB4" s="1137"/>
      <c r="EC4" s="1137"/>
      <c r="ED4" s="1137"/>
      <c r="EE4" s="1137"/>
      <c r="EF4" s="1137"/>
      <c r="EG4" s="1137"/>
      <c r="EH4" s="1137"/>
      <c r="EI4" s="1137"/>
      <c r="EJ4" s="1137"/>
      <c r="EK4" s="1137"/>
      <c r="EL4" s="1137"/>
      <c r="EM4" s="1137"/>
      <c r="EN4" s="1137"/>
      <c r="EO4" s="1137"/>
      <c r="EP4" s="1137"/>
      <c r="EQ4" s="1137"/>
      <c r="ER4" s="1137"/>
      <c r="ES4" s="1137"/>
      <c r="ET4" s="1137"/>
      <c r="EU4" s="1137"/>
      <c r="EV4" s="1137"/>
      <c r="EW4" s="1137"/>
      <c r="EX4" s="1137"/>
      <c r="EY4" s="1137"/>
      <c r="EZ4" s="1137"/>
      <c r="FA4" s="1137"/>
      <c r="FB4" s="1137"/>
      <c r="FC4" s="1137"/>
      <c r="FD4" s="1137"/>
      <c r="FE4" s="1137"/>
      <c r="FF4" s="1137"/>
      <c r="FG4" s="1137"/>
      <c r="FH4" s="1137"/>
      <c r="FI4" s="1137"/>
      <c r="FJ4" s="1137"/>
      <c r="FK4" s="1137"/>
      <c r="FL4" s="1137"/>
      <c r="FM4" s="1137"/>
      <c r="FN4" s="1137"/>
      <c r="FO4" s="1137"/>
      <c r="FP4" s="1137"/>
      <c r="FQ4" s="1137"/>
      <c r="FR4" s="1137"/>
      <c r="FS4" s="1137"/>
      <c r="FT4" s="1137"/>
      <c r="FU4" s="1137"/>
      <c r="FV4" s="1137"/>
      <c r="FW4" s="1137"/>
      <c r="FX4" s="1137"/>
      <c r="FY4" s="1137"/>
      <c r="FZ4" s="1137"/>
      <c r="GA4" s="1137"/>
      <c r="GB4" s="1137"/>
      <c r="GC4" s="1137"/>
      <c r="GD4" s="1137"/>
      <c r="GE4" s="1137"/>
      <c r="GF4" s="1137"/>
      <c r="GG4" s="1137"/>
      <c r="GH4" s="1137"/>
      <c r="GI4" s="1137"/>
      <c r="GJ4" s="1137"/>
      <c r="GK4" s="1137"/>
      <c r="GL4" s="1137"/>
      <c r="GM4" s="1137"/>
      <c r="GN4" s="1137"/>
      <c r="GO4" s="1137"/>
      <c r="GP4" s="1137"/>
      <c r="GQ4" s="1137"/>
      <c r="GR4" s="1137"/>
      <c r="GS4" s="1137"/>
      <c r="GT4" s="1137"/>
      <c r="GU4" s="1137"/>
      <c r="GV4" s="1137"/>
      <c r="GW4" s="1137"/>
      <c r="GX4" s="1137"/>
      <c r="GY4" s="1137"/>
      <c r="GZ4" s="1137"/>
      <c r="HA4" s="1137"/>
      <c r="HB4" s="1137"/>
      <c r="HC4" s="1137"/>
      <c r="HD4" s="1137"/>
      <c r="HE4" s="1137"/>
      <c r="HF4" s="1137"/>
      <c r="HG4" s="1137"/>
      <c r="HH4" s="1137"/>
      <c r="HI4" s="1137"/>
      <c r="HJ4" s="1137"/>
      <c r="HK4" s="1137"/>
      <c r="HL4" s="1137"/>
      <c r="HM4" s="1137"/>
      <c r="HN4" s="1137"/>
      <c r="HO4" s="1137"/>
      <c r="HP4" s="1137"/>
      <c r="HQ4" s="1137"/>
      <c r="HR4" s="1137"/>
      <c r="HS4" s="1137"/>
      <c r="HT4" s="1137"/>
      <c r="HU4" s="1137"/>
      <c r="HV4" s="1137"/>
      <c r="HW4" s="1137"/>
      <c r="HX4" s="1137"/>
      <c r="HY4" s="1137"/>
      <c r="HZ4" s="1137"/>
      <c r="IA4" s="1137"/>
      <c r="IB4" s="1137"/>
      <c r="IC4" s="1137"/>
      <c r="ID4" s="1137"/>
      <c r="IE4" s="1137"/>
      <c r="IF4" s="1137"/>
      <c r="IG4" s="1137"/>
      <c r="IH4" s="1137"/>
      <c r="II4" s="1137"/>
      <c r="IJ4" s="1137"/>
      <c r="IK4" s="1137"/>
      <c r="IL4" s="1137"/>
      <c r="IM4" s="1137"/>
      <c r="IN4" s="1137"/>
      <c r="IO4" s="1137"/>
      <c r="IP4" s="1137"/>
      <c r="IQ4" s="1137"/>
      <c r="IR4" s="1137"/>
      <c r="IS4" s="1137"/>
      <c r="IT4" s="1137"/>
      <c r="IU4" s="1137"/>
      <c r="IV4" s="1137"/>
    </row>
    <row r="5" spans="1:256" ht="12.75" customHeight="1">
      <c r="A5" s="1504"/>
      <c r="B5" s="1505"/>
      <c r="C5" s="1507" t="s">
        <v>675</v>
      </c>
      <c r="D5" s="150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7"/>
      <c r="AD5" s="1137"/>
      <c r="AE5" s="1137"/>
      <c r="AF5" s="1137"/>
      <c r="AG5" s="1137"/>
      <c r="AH5" s="1137"/>
      <c r="AI5" s="1137"/>
      <c r="AJ5" s="1137"/>
      <c r="AK5" s="1137"/>
      <c r="AL5" s="1137"/>
      <c r="AM5" s="1137"/>
      <c r="AN5" s="1137"/>
      <c r="AO5" s="1137"/>
      <c r="AP5" s="1137"/>
      <c r="AQ5" s="1137"/>
      <c r="AR5" s="1137"/>
      <c r="AS5" s="1137"/>
      <c r="AT5" s="1137"/>
      <c r="AU5" s="1137"/>
      <c r="AV5" s="1137"/>
      <c r="AW5" s="1137"/>
      <c r="AX5" s="1137"/>
      <c r="AY5" s="1137"/>
      <c r="AZ5" s="1137"/>
      <c r="BA5" s="1137"/>
      <c r="BB5" s="1137"/>
      <c r="BC5" s="1137"/>
      <c r="BD5" s="1137"/>
      <c r="BE5" s="1137"/>
      <c r="BF5" s="1137"/>
      <c r="BG5" s="1137"/>
      <c r="BH5" s="1137"/>
      <c r="BI5" s="1137"/>
      <c r="BJ5" s="1137"/>
      <c r="BK5" s="1137"/>
      <c r="BL5" s="1137"/>
      <c r="BM5" s="1137"/>
      <c r="BN5" s="1137"/>
      <c r="BO5" s="1137"/>
      <c r="BP5" s="1137"/>
      <c r="BQ5" s="1137"/>
      <c r="BR5" s="1137"/>
      <c r="BS5" s="1137"/>
      <c r="BT5" s="1137"/>
      <c r="BU5" s="1137"/>
      <c r="BV5" s="1137"/>
      <c r="BW5" s="1137"/>
      <c r="BX5" s="1137"/>
      <c r="BY5" s="1137"/>
      <c r="BZ5" s="1137"/>
      <c r="CA5" s="1137"/>
      <c r="CB5" s="1137"/>
      <c r="CC5" s="1137"/>
      <c r="CD5" s="1137"/>
      <c r="CE5" s="1137"/>
      <c r="CF5" s="1137"/>
      <c r="CG5" s="1137"/>
      <c r="CH5" s="1137"/>
      <c r="CI5" s="1137"/>
      <c r="CJ5" s="1137"/>
      <c r="CK5" s="1137"/>
      <c r="CL5" s="1137"/>
      <c r="CM5" s="1137"/>
      <c r="CN5" s="1137"/>
      <c r="CO5" s="1137"/>
      <c r="CP5" s="1137"/>
      <c r="CQ5" s="1137"/>
      <c r="CR5" s="1137"/>
      <c r="CS5" s="1137"/>
      <c r="CT5" s="1137"/>
      <c r="CU5" s="1137"/>
      <c r="CV5" s="1137"/>
      <c r="CW5" s="1137"/>
      <c r="CX5" s="1137"/>
      <c r="CY5" s="1137"/>
      <c r="CZ5" s="1137"/>
      <c r="DA5" s="1137"/>
      <c r="DB5" s="1137"/>
      <c r="DC5" s="1137"/>
      <c r="DD5" s="1137"/>
      <c r="DE5" s="1137"/>
      <c r="DF5" s="1137"/>
      <c r="DG5" s="1137"/>
      <c r="DH5" s="1137"/>
      <c r="DI5" s="1137"/>
      <c r="DJ5" s="1137"/>
      <c r="DK5" s="1137"/>
      <c r="DL5" s="1137"/>
      <c r="DM5" s="1137"/>
      <c r="DN5" s="1137"/>
      <c r="DO5" s="1137"/>
      <c r="DP5" s="1137"/>
      <c r="DQ5" s="1137"/>
      <c r="DR5" s="1137"/>
      <c r="DS5" s="1137"/>
      <c r="DT5" s="1137"/>
      <c r="DU5" s="1137"/>
      <c r="DV5" s="1137"/>
      <c r="DW5" s="1137"/>
      <c r="DX5" s="1137"/>
      <c r="DY5" s="1137"/>
      <c r="DZ5" s="1137"/>
      <c r="EA5" s="1137"/>
      <c r="EB5" s="1137"/>
      <c r="EC5" s="1137"/>
      <c r="ED5" s="1137"/>
      <c r="EE5" s="1137"/>
      <c r="EF5" s="1137"/>
      <c r="EG5" s="1137"/>
      <c r="EH5" s="1137"/>
      <c r="EI5" s="1137"/>
      <c r="EJ5" s="1137"/>
      <c r="EK5" s="1137"/>
      <c r="EL5" s="1137"/>
      <c r="EM5" s="1137"/>
      <c r="EN5" s="1137"/>
      <c r="EO5" s="1137"/>
      <c r="EP5" s="1137"/>
      <c r="EQ5" s="1137"/>
      <c r="ER5" s="1137"/>
      <c r="ES5" s="1137"/>
      <c r="ET5" s="1137"/>
      <c r="EU5" s="1137"/>
      <c r="EV5" s="1137"/>
      <c r="EW5" s="1137"/>
      <c r="EX5" s="1137"/>
      <c r="EY5" s="1137"/>
      <c r="EZ5" s="1137"/>
      <c r="FA5" s="1137"/>
      <c r="FB5" s="1137"/>
      <c r="FC5" s="1137"/>
      <c r="FD5" s="1137"/>
      <c r="FE5" s="1137"/>
      <c r="FF5" s="1137"/>
      <c r="FG5" s="1137"/>
      <c r="FH5" s="1137"/>
      <c r="FI5" s="1137"/>
      <c r="FJ5" s="1137"/>
      <c r="FK5" s="1137"/>
      <c r="FL5" s="1137"/>
      <c r="FM5" s="1137"/>
      <c r="FN5" s="1137"/>
      <c r="FO5" s="1137"/>
      <c r="FP5" s="1137"/>
      <c r="FQ5" s="1137"/>
      <c r="FR5" s="1137"/>
      <c r="FS5" s="1137"/>
      <c r="FT5" s="1137"/>
      <c r="FU5" s="1137"/>
      <c r="FV5" s="1137"/>
      <c r="FW5" s="1137"/>
      <c r="FX5" s="1137"/>
      <c r="FY5" s="1137"/>
      <c r="FZ5" s="1137"/>
      <c r="GA5" s="1137"/>
      <c r="GB5" s="1137"/>
      <c r="GC5" s="1137"/>
      <c r="GD5" s="1137"/>
      <c r="GE5" s="1137"/>
      <c r="GF5" s="1137"/>
      <c r="GG5" s="1137"/>
      <c r="GH5" s="1137"/>
      <c r="GI5" s="1137"/>
      <c r="GJ5" s="1137"/>
      <c r="GK5" s="1137"/>
      <c r="GL5" s="1137"/>
      <c r="GM5" s="1137"/>
      <c r="GN5" s="1137"/>
      <c r="GO5" s="1137"/>
      <c r="GP5" s="1137"/>
      <c r="GQ5" s="1137"/>
      <c r="GR5" s="1137"/>
      <c r="GS5" s="1137"/>
      <c r="GT5" s="1137"/>
      <c r="GU5" s="1137"/>
      <c r="GV5" s="1137"/>
      <c r="GW5" s="1137"/>
      <c r="GX5" s="1137"/>
      <c r="GY5" s="1137"/>
      <c r="GZ5" s="1137"/>
      <c r="HA5" s="1137"/>
      <c r="HB5" s="1137"/>
      <c r="HC5" s="1137"/>
      <c r="HD5" s="1137"/>
      <c r="HE5" s="1137"/>
      <c r="HF5" s="1137"/>
      <c r="HG5" s="1137"/>
      <c r="HH5" s="1137"/>
      <c r="HI5" s="1137"/>
      <c r="HJ5" s="1137"/>
      <c r="HK5" s="1137"/>
      <c r="HL5" s="1137"/>
      <c r="HM5" s="1137"/>
      <c r="HN5" s="1137"/>
      <c r="HO5" s="1137"/>
      <c r="HP5" s="1137"/>
      <c r="HQ5" s="1137"/>
      <c r="HR5" s="1137"/>
      <c r="HS5" s="1137"/>
      <c r="HT5" s="1137"/>
      <c r="HU5" s="1137"/>
      <c r="HV5" s="1137"/>
      <c r="HW5" s="1137"/>
      <c r="HX5" s="1137"/>
      <c r="HY5" s="1137"/>
      <c r="HZ5" s="1137"/>
      <c r="IA5" s="1137"/>
      <c r="IB5" s="1137"/>
      <c r="IC5" s="1137"/>
      <c r="ID5" s="1137"/>
      <c r="IE5" s="1137"/>
      <c r="IF5" s="1137"/>
      <c r="IG5" s="1137"/>
      <c r="IH5" s="1137"/>
      <c r="II5" s="1137"/>
      <c r="IJ5" s="1137"/>
      <c r="IK5" s="1137"/>
      <c r="IL5" s="1137"/>
      <c r="IM5" s="1137"/>
      <c r="IN5" s="1137"/>
      <c r="IO5" s="1137"/>
      <c r="IP5" s="1137"/>
      <c r="IQ5" s="1137"/>
      <c r="IR5" s="1137"/>
      <c r="IS5" s="1137"/>
      <c r="IT5" s="1137"/>
      <c r="IU5" s="1137"/>
      <c r="IV5" s="1137"/>
    </row>
    <row r="6" spans="1:4" s="1142" customFormat="1" ht="16.5" thickBot="1">
      <c r="A6" s="1164" t="s">
        <v>676</v>
      </c>
      <c r="B6" s="1165" t="s">
        <v>15</v>
      </c>
      <c r="C6" s="1165" t="s">
        <v>650</v>
      </c>
      <c r="D6" s="1165" t="s">
        <v>651</v>
      </c>
    </row>
    <row r="7" spans="1:4" s="1146" customFormat="1" ht="15.75">
      <c r="A7" s="1166" t="s">
        <v>677</v>
      </c>
      <c r="B7" s="1167" t="s">
        <v>678</v>
      </c>
      <c r="C7" s="1168">
        <f>SUM(C8:C11)</f>
        <v>545525</v>
      </c>
      <c r="D7" s="1168">
        <v>0</v>
      </c>
    </row>
    <row r="8" spans="1:4" s="1146" customFormat="1" ht="15.75">
      <c r="A8" s="1169" t="s">
        <v>679</v>
      </c>
      <c r="B8" s="1170" t="s">
        <v>680</v>
      </c>
      <c r="C8" s="1171"/>
      <c r="D8" s="1171"/>
    </row>
    <row r="9" spans="1:4" s="1146" customFormat="1" ht="47.25">
      <c r="A9" s="1169" t="s">
        <v>681</v>
      </c>
      <c r="B9" s="1170" t="s">
        <v>682</v>
      </c>
      <c r="C9" s="1171"/>
      <c r="D9" s="1171"/>
    </row>
    <row r="10" spans="1:4" s="1146" customFormat="1" ht="15.75">
      <c r="A10" s="1169" t="s">
        <v>683</v>
      </c>
      <c r="B10" s="1170" t="s">
        <v>684</v>
      </c>
      <c r="C10" s="1171">
        <v>298500</v>
      </c>
      <c r="D10" s="1171"/>
    </row>
    <row r="11" spans="1:4" s="1146" customFormat="1" ht="15.75">
      <c r="A11" s="1169" t="s">
        <v>685</v>
      </c>
      <c r="B11" s="1170" t="s">
        <v>686</v>
      </c>
      <c r="C11" s="1171">
        <v>247025</v>
      </c>
      <c r="D11" s="1171"/>
    </row>
    <row r="12" spans="1:4" s="1146" customFormat="1" ht="15.75">
      <c r="A12" s="1172" t="s">
        <v>687</v>
      </c>
      <c r="B12" s="1173" t="s">
        <v>688</v>
      </c>
      <c r="C12" s="1174">
        <f>SUM(C13+C18+C23+C28+C33)</f>
        <v>34045971</v>
      </c>
      <c r="D12" s="1174">
        <f>SUM(D13+D18+D23+D28+D33)</f>
        <v>1522777</v>
      </c>
    </row>
    <row r="13" spans="1:4" s="1146" customFormat="1" ht="31.5">
      <c r="A13" s="1172" t="s">
        <v>689</v>
      </c>
      <c r="B13" s="1173" t="s">
        <v>690</v>
      </c>
      <c r="C13" s="1174">
        <f>SUM(C14:C17)</f>
        <v>0</v>
      </c>
      <c r="D13" s="1174">
        <f>SUM(D14:D17)</f>
        <v>0</v>
      </c>
    </row>
    <row r="14" spans="1:4" s="1146" customFormat="1" ht="31.5">
      <c r="A14" s="1169" t="s">
        <v>691</v>
      </c>
      <c r="B14" s="1170" t="s">
        <v>692</v>
      </c>
      <c r="C14" s="1171"/>
      <c r="D14" s="1171"/>
    </row>
    <row r="15" spans="1:4" s="1146" customFormat="1" ht="45.75" customHeight="1">
      <c r="A15" s="1169" t="s">
        <v>693</v>
      </c>
      <c r="B15" s="1170" t="s">
        <v>694</v>
      </c>
      <c r="C15" s="1171"/>
      <c r="D15" s="1171"/>
    </row>
    <row r="16" spans="1:4" s="1146" customFormat="1" ht="31.5">
      <c r="A16" s="1169" t="s">
        <v>695</v>
      </c>
      <c r="B16" s="1170" t="s">
        <v>436</v>
      </c>
      <c r="C16" s="1171"/>
      <c r="D16" s="1171"/>
    </row>
    <row r="17" spans="1:4" s="1146" customFormat="1" ht="15.75">
      <c r="A17" s="1169" t="s">
        <v>696</v>
      </c>
      <c r="B17" s="1170" t="s">
        <v>439</v>
      </c>
      <c r="C17" s="1171"/>
      <c r="D17" s="1171"/>
    </row>
    <row r="18" spans="1:4" s="1146" customFormat="1" ht="31.5">
      <c r="A18" s="1172" t="s">
        <v>697</v>
      </c>
      <c r="B18" s="1173" t="s">
        <v>440</v>
      </c>
      <c r="C18" s="1175">
        <f>SUM(C19:C22)</f>
        <v>34045971</v>
      </c>
      <c r="D18" s="1175">
        <f>SUM(D19:D22)</f>
        <v>1522777</v>
      </c>
    </row>
    <row r="19" spans="1:4" s="1146" customFormat="1" ht="31.5">
      <c r="A19" s="1169" t="s">
        <v>698</v>
      </c>
      <c r="B19" s="1170" t="s">
        <v>441</v>
      </c>
      <c r="C19" s="1171"/>
      <c r="D19" s="1171"/>
    </row>
    <row r="20" spans="1:4" s="1146" customFormat="1" ht="47.25">
      <c r="A20" s="1169" t="s">
        <v>699</v>
      </c>
      <c r="B20" s="1170" t="s">
        <v>442</v>
      </c>
      <c r="C20" s="1171"/>
      <c r="D20" s="1171"/>
    </row>
    <row r="21" spans="1:4" s="1146" customFormat="1" ht="31.5">
      <c r="A21" s="1169" t="s">
        <v>700</v>
      </c>
      <c r="B21" s="1170" t="s">
        <v>443</v>
      </c>
      <c r="C21" s="1171"/>
      <c r="D21" s="1171"/>
    </row>
    <row r="22" spans="1:4" s="1146" customFormat="1" ht="15.75">
      <c r="A22" s="1169" t="s">
        <v>701</v>
      </c>
      <c r="B22" s="1170" t="s">
        <v>702</v>
      </c>
      <c r="C22" s="1171">
        <v>34045971</v>
      </c>
      <c r="D22" s="1171">
        <v>1522777</v>
      </c>
    </row>
    <row r="23" spans="1:4" s="1146" customFormat="1" ht="15.75">
      <c r="A23" s="1172" t="s">
        <v>703</v>
      </c>
      <c r="B23" s="1173" t="s">
        <v>704</v>
      </c>
      <c r="C23" s="1176"/>
      <c r="D23" s="1176"/>
    </row>
    <row r="24" spans="1:4" s="1146" customFormat="1" ht="15.75">
      <c r="A24" s="1169" t="s">
        <v>705</v>
      </c>
      <c r="B24" s="1170" t="s">
        <v>706</v>
      </c>
      <c r="C24" s="1171"/>
      <c r="D24" s="1171"/>
    </row>
    <row r="25" spans="1:4" s="1146" customFormat="1" ht="31.5">
      <c r="A25" s="1169" t="s">
        <v>707</v>
      </c>
      <c r="B25" s="1170" t="s">
        <v>708</v>
      </c>
      <c r="C25" s="1171"/>
      <c r="D25" s="1171"/>
    </row>
    <row r="26" spans="1:4" s="1146" customFormat="1" ht="15.75">
      <c r="A26" s="1169" t="s">
        <v>709</v>
      </c>
      <c r="B26" s="1170" t="s">
        <v>710</v>
      </c>
      <c r="C26" s="1171"/>
      <c r="D26" s="1171"/>
    </row>
    <row r="27" spans="1:4" s="1146" customFormat="1" ht="15.75">
      <c r="A27" s="1169" t="s">
        <v>711</v>
      </c>
      <c r="B27" s="1170" t="s">
        <v>712</v>
      </c>
      <c r="C27" s="1171"/>
      <c r="D27" s="1171"/>
    </row>
    <row r="28" spans="1:4" s="1146" customFormat="1" ht="15.75">
      <c r="A28" s="1172" t="s">
        <v>713</v>
      </c>
      <c r="B28" s="1173" t="s">
        <v>714</v>
      </c>
      <c r="C28" s="1175">
        <f>SUM(C29:C32)</f>
        <v>0</v>
      </c>
      <c r="D28" s="1175">
        <f>SUM(D29:D32)</f>
        <v>0</v>
      </c>
    </row>
    <row r="29" spans="1:4" s="1146" customFormat="1" ht="15.75">
      <c r="A29" s="1169" t="s">
        <v>715</v>
      </c>
      <c r="B29" s="1170" t="s">
        <v>716</v>
      </c>
      <c r="C29" s="1171"/>
      <c r="D29" s="1171"/>
    </row>
    <row r="30" spans="1:4" s="1146" customFormat="1" ht="31.5">
      <c r="A30" s="1169" t="s">
        <v>717</v>
      </c>
      <c r="B30" s="1170" t="s">
        <v>718</v>
      </c>
      <c r="C30" s="1171"/>
      <c r="D30" s="1171"/>
    </row>
    <row r="31" spans="1:4" s="1146" customFormat="1" ht="15.75">
      <c r="A31" s="1169" t="s">
        <v>719</v>
      </c>
      <c r="B31" s="1170" t="s">
        <v>720</v>
      </c>
      <c r="C31" s="1171"/>
      <c r="D31" s="1171"/>
    </row>
    <row r="32" spans="1:4" s="1146" customFormat="1" ht="15.75">
      <c r="A32" s="1169" t="s">
        <v>721</v>
      </c>
      <c r="B32" s="1170" t="s">
        <v>722</v>
      </c>
      <c r="C32" s="1171"/>
      <c r="D32" s="1171"/>
    </row>
    <row r="33" spans="1:4" s="1146" customFormat="1" ht="15.75">
      <c r="A33" s="1172" t="s">
        <v>723</v>
      </c>
      <c r="B33" s="1173" t="s">
        <v>724</v>
      </c>
      <c r="C33" s="1176"/>
      <c r="D33" s="1176"/>
    </row>
    <row r="34" spans="1:4" s="1146" customFormat="1" ht="15.75">
      <c r="A34" s="1169" t="s">
        <v>725</v>
      </c>
      <c r="B34" s="1170" t="s">
        <v>726</v>
      </c>
      <c r="C34" s="1171"/>
      <c r="D34" s="1171"/>
    </row>
    <row r="35" spans="1:4" s="1146" customFormat="1" ht="47.25">
      <c r="A35" s="1169" t="s">
        <v>727</v>
      </c>
      <c r="B35" s="1170" t="s">
        <v>728</v>
      </c>
      <c r="C35" s="1171"/>
      <c r="D35" s="1171"/>
    </row>
    <row r="36" spans="1:4" s="1146" customFormat="1" ht="31.5">
      <c r="A36" s="1169" t="s">
        <v>729</v>
      </c>
      <c r="B36" s="1170" t="s">
        <v>730</v>
      </c>
      <c r="C36" s="1171"/>
      <c r="D36" s="1171"/>
    </row>
    <row r="37" spans="1:4" s="1146" customFormat="1" ht="15.75">
      <c r="A37" s="1169" t="s">
        <v>731</v>
      </c>
      <c r="B37" s="1170" t="s">
        <v>732</v>
      </c>
      <c r="C37" s="1171"/>
      <c r="D37" s="1171"/>
    </row>
    <row r="38" spans="1:4" s="1146" customFormat="1" ht="15.75">
      <c r="A38" s="1172" t="s">
        <v>733</v>
      </c>
      <c r="B38" s="1173" t="s">
        <v>734</v>
      </c>
      <c r="C38" s="1175">
        <f>SUM(C39+C44+C49)</f>
        <v>0</v>
      </c>
      <c r="D38" s="1175">
        <f>SUM(D39+D44+D49)</f>
        <v>0</v>
      </c>
    </row>
    <row r="39" spans="1:4" s="1146" customFormat="1" ht="15.75">
      <c r="A39" s="1172" t="s">
        <v>735</v>
      </c>
      <c r="B39" s="1173" t="s">
        <v>736</v>
      </c>
      <c r="C39" s="1175">
        <f>SUM(C40:C43)</f>
        <v>0</v>
      </c>
      <c r="D39" s="1175">
        <f>SUM(D40:D43)</f>
        <v>0</v>
      </c>
    </row>
    <row r="40" spans="1:4" s="1146" customFormat="1" ht="15.75">
      <c r="A40" s="1169" t="s">
        <v>737</v>
      </c>
      <c r="B40" s="1170" t="s">
        <v>738</v>
      </c>
      <c r="C40" s="1171"/>
      <c r="D40" s="1171"/>
    </row>
    <row r="41" spans="1:4" s="1146" customFormat="1" ht="31.5">
      <c r="A41" s="1169" t="s">
        <v>739</v>
      </c>
      <c r="B41" s="1170" t="s">
        <v>740</v>
      </c>
      <c r="C41" s="1171"/>
      <c r="D41" s="1171"/>
    </row>
    <row r="42" spans="1:4" s="1146" customFormat="1" ht="15.75">
      <c r="A42" s="1169" t="s">
        <v>741</v>
      </c>
      <c r="B42" s="1170" t="s">
        <v>742</v>
      </c>
      <c r="C42" s="1171"/>
      <c r="D42" s="1171"/>
    </row>
    <row r="43" spans="1:4" s="1146" customFormat="1" ht="15.75">
      <c r="A43" s="1169" t="s">
        <v>743</v>
      </c>
      <c r="B43" s="1170" t="s">
        <v>744</v>
      </c>
      <c r="C43" s="1171"/>
      <c r="D43" s="1171"/>
    </row>
    <row r="44" spans="1:4" s="1146" customFormat="1" ht="31.5">
      <c r="A44" s="1172" t="s">
        <v>745</v>
      </c>
      <c r="B44" s="1173" t="s">
        <v>746</v>
      </c>
      <c r="C44" s="1176"/>
      <c r="D44" s="1176"/>
    </row>
    <row r="45" spans="1:4" s="1146" customFormat="1" ht="31.5">
      <c r="A45" s="1169" t="s">
        <v>747</v>
      </c>
      <c r="B45" s="1170" t="s">
        <v>748</v>
      </c>
      <c r="C45" s="1171"/>
      <c r="D45" s="1171"/>
    </row>
    <row r="46" spans="1:4" s="1146" customFormat="1" ht="47.25">
      <c r="A46" s="1169" t="s">
        <v>749</v>
      </c>
      <c r="B46" s="1170" t="s">
        <v>750</v>
      </c>
      <c r="C46" s="1171"/>
      <c r="D46" s="1171"/>
    </row>
    <row r="47" spans="1:4" s="1146" customFormat="1" ht="31.5">
      <c r="A47" s="1169" t="s">
        <v>751</v>
      </c>
      <c r="B47" s="1170" t="s">
        <v>752</v>
      </c>
      <c r="C47" s="1171"/>
      <c r="D47" s="1171"/>
    </row>
    <row r="48" spans="1:4" s="1146" customFormat="1" ht="15.75">
      <c r="A48" s="1169" t="s">
        <v>753</v>
      </c>
      <c r="B48" s="1170" t="s">
        <v>754</v>
      </c>
      <c r="C48" s="1171"/>
      <c r="D48" s="1171"/>
    </row>
    <row r="49" spans="1:4" s="1146" customFormat="1" ht="31.5">
      <c r="A49" s="1172" t="s">
        <v>755</v>
      </c>
      <c r="B49" s="1173" t="s">
        <v>756</v>
      </c>
      <c r="C49" s="1176"/>
      <c r="D49" s="1176"/>
    </row>
    <row r="50" spans="1:4" s="1146" customFormat="1" ht="31.5">
      <c r="A50" s="1169" t="s">
        <v>757</v>
      </c>
      <c r="B50" s="1170" t="s">
        <v>758</v>
      </c>
      <c r="C50" s="1171"/>
      <c r="D50" s="1171"/>
    </row>
    <row r="51" spans="1:4" s="1146" customFormat="1" ht="47.25">
      <c r="A51" s="1169" t="s">
        <v>759</v>
      </c>
      <c r="B51" s="1170" t="s">
        <v>760</v>
      </c>
      <c r="C51" s="1171"/>
      <c r="D51" s="1171"/>
    </row>
    <row r="52" spans="1:4" s="1146" customFormat="1" ht="31.5">
      <c r="A52" s="1169" t="s">
        <v>761</v>
      </c>
      <c r="B52" s="1170" t="s">
        <v>762</v>
      </c>
      <c r="C52" s="1171"/>
      <c r="D52" s="1171"/>
    </row>
    <row r="53" spans="1:4" s="1146" customFormat="1" ht="15.75">
      <c r="A53" s="1169" t="s">
        <v>763</v>
      </c>
      <c r="B53" s="1170" t="s">
        <v>764</v>
      </c>
      <c r="C53" s="1171"/>
      <c r="D53" s="1171"/>
    </row>
    <row r="54" spans="1:4" s="1146" customFormat="1" ht="15.75">
      <c r="A54" s="1172" t="s">
        <v>765</v>
      </c>
      <c r="B54" s="1170" t="s">
        <v>766</v>
      </c>
      <c r="C54" s="1171"/>
      <c r="D54" s="1171"/>
    </row>
    <row r="55" spans="1:4" ht="47.25">
      <c r="A55" s="1172" t="s">
        <v>767</v>
      </c>
      <c r="B55" s="1173" t="s">
        <v>768</v>
      </c>
      <c r="C55" s="1175">
        <f>SUM(C7+C12+C38+C54)</f>
        <v>34591496</v>
      </c>
      <c r="D55" s="1175">
        <f>SUM(D7+D12+D38+D54)</f>
        <v>1522777</v>
      </c>
    </row>
    <row r="56" spans="1:4" ht="15.75">
      <c r="A56" s="1172" t="s">
        <v>769</v>
      </c>
      <c r="B56" s="1170" t="s">
        <v>770</v>
      </c>
      <c r="C56" s="1177">
        <v>440920</v>
      </c>
      <c r="D56" s="1177">
        <v>440920</v>
      </c>
    </row>
    <row r="57" spans="1:4" ht="15.75">
      <c r="A57" s="1172" t="s">
        <v>771</v>
      </c>
      <c r="B57" s="1170" t="s">
        <v>772</v>
      </c>
      <c r="C57" s="1171"/>
      <c r="D57" s="1171"/>
    </row>
    <row r="58" spans="1:4" ht="31.5">
      <c r="A58" s="1172" t="s">
        <v>773</v>
      </c>
      <c r="B58" s="1173" t="s">
        <v>774</v>
      </c>
      <c r="C58" s="1175"/>
      <c r="D58" s="1175"/>
    </row>
    <row r="59" spans="1:4" ht="15.75">
      <c r="A59" s="1172" t="s">
        <v>775</v>
      </c>
      <c r="B59" s="1170" t="s">
        <v>776</v>
      </c>
      <c r="C59" s="1178"/>
      <c r="D59" s="1177"/>
    </row>
    <row r="60" spans="1:4" ht="15.75">
      <c r="A60" s="1172" t="s">
        <v>777</v>
      </c>
      <c r="B60" s="1170" t="s">
        <v>778</v>
      </c>
      <c r="C60" s="1178"/>
      <c r="D60" s="1177"/>
    </row>
    <row r="61" spans="1:4" ht="15.75">
      <c r="A61" s="1172" t="s">
        <v>779</v>
      </c>
      <c r="B61" s="1170" t="s">
        <v>780</v>
      </c>
      <c r="C61" s="1178"/>
      <c r="D61" s="1177">
        <v>1765083</v>
      </c>
    </row>
    <row r="62" spans="1:4" ht="15.75">
      <c r="A62" s="1172" t="s">
        <v>781</v>
      </c>
      <c r="B62" s="1170" t="s">
        <v>782</v>
      </c>
      <c r="C62" s="1178"/>
      <c r="D62" s="1177"/>
    </row>
    <row r="63" spans="1:4" ht="15.75">
      <c r="A63" s="1172" t="s">
        <v>783</v>
      </c>
      <c r="B63" s="1170" t="s">
        <v>784</v>
      </c>
      <c r="C63" s="1178"/>
      <c r="D63" s="1177"/>
    </row>
    <row r="64" spans="1:4" ht="15.75">
      <c r="A64" s="1172" t="s">
        <v>785</v>
      </c>
      <c r="B64" s="1173" t="s">
        <v>786</v>
      </c>
      <c r="C64" s="1179"/>
      <c r="D64" s="1175">
        <f>SUM(D59:D63)</f>
        <v>1765083</v>
      </c>
    </row>
    <row r="65" spans="1:4" ht="15.75">
      <c r="A65" s="1172" t="s">
        <v>787</v>
      </c>
      <c r="B65" s="1170" t="s">
        <v>788</v>
      </c>
      <c r="C65" s="1178"/>
      <c r="D65" s="1177">
        <v>102970</v>
      </c>
    </row>
    <row r="66" spans="1:4" ht="15.75">
      <c r="A66" s="1172" t="s">
        <v>789</v>
      </c>
      <c r="B66" s="1170" t="s">
        <v>790</v>
      </c>
      <c r="C66" s="1178"/>
      <c r="D66" s="1177"/>
    </row>
    <row r="67" spans="1:4" ht="15.75">
      <c r="A67" s="1172" t="s">
        <v>791</v>
      </c>
      <c r="B67" s="1170" t="s">
        <v>792</v>
      </c>
      <c r="C67" s="1178"/>
      <c r="D67" s="1177">
        <v>2222356</v>
      </c>
    </row>
    <row r="68" spans="1:4" ht="15.75">
      <c r="A68" s="1172" t="s">
        <v>793</v>
      </c>
      <c r="B68" s="1173" t="s">
        <v>794</v>
      </c>
      <c r="C68" s="1179"/>
      <c r="D68" s="1175">
        <f>SUM(D65:D67)</f>
        <v>2325326</v>
      </c>
    </row>
    <row r="69" spans="1:4" ht="15.75">
      <c r="A69" s="1172" t="s">
        <v>795</v>
      </c>
      <c r="B69" s="1170" t="s">
        <v>796</v>
      </c>
      <c r="C69" s="1178"/>
      <c r="D69" s="1177"/>
    </row>
    <row r="70" spans="1:4" ht="47.25">
      <c r="A70" s="1172" t="s">
        <v>797</v>
      </c>
      <c r="B70" s="1170" t="s">
        <v>798</v>
      </c>
      <c r="C70" s="1178"/>
      <c r="D70" s="1177"/>
    </row>
    <row r="71" spans="1:4" ht="31.5">
      <c r="A71" s="1172" t="s">
        <v>799</v>
      </c>
      <c r="B71" s="1173" t="s">
        <v>800</v>
      </c>
      <c r="C71" s="1179"/>
      <c r="D71" s="1175"/>
    </row>
    <row r="72" spans="1:4" ht="15.75">
      <c r="A72" s="1172" t="s">
        <v>801</v>
      </c>
      <c r="B72" s="1173" t="s">
        <v>802</v>
      </c>
      <c r="C72" s="1178"/>
      <c r="D72" s="1177"/>
    </row>
    <row r="73" spans="1:4" ht="16.5" thickBot="1">
      <c r="A73" s="1180" t="s">
        <v>803</v>
      </c>
      <c r="B73" s="1173" t="s">
        <v>804</v>
      </c>
      <c r="C73" s="1181"/>
      <c r="D73" s="1181">
        <f>SUM(D68+D64+D58+D55+D71+D72+D56)</f>
        <v>6054106</v>
      </c>
    </row>
    <row r="75" ht="16.5" thickBot="1"/>
    <row r="76" spans="1:3" ht="15.75">
      <c r="A76" s="1490" t="s">
        <v>1133</v>
      </c>
      <c r="B76" s="1492" t="s">
        <v>6</v>
      </c>
      <c r="C76" s="1494" t="s">
        <v>1134</v>
      </c>
    </row>
    <row r="77" spans="1:3" ht="15.75">
      <c r="A77" s="1491"/>
      <c r="B77" s="1493"/>
      <c r="C77" s="1495"/>
    </row>
    <row r="78" spans="1:3" ht="16.5" thickBot="1">
      <c r="A78" s="1272" t="s">
        <v>649</v>
      </c>
      <c r="B78" s="1273" t="s">
        <v>15</v>
      </c>
      <c r="C78" s="1274" t="s">
        <v>650</v>
      </c>
    </row>
    <row r="79" spans="1:3" ht="15.75">
      <c r="A79" s="1275" t="s">
        <v>1135</v>
      </c>
      <c r="B79" s="1276" t="s">
        <v>678</v>
      </c>
      <c r="C79" s="1277">
        <f>'12.sz.m.mérleg'!G185</f>
        <v>0</v>
      </c>
    </row>
    <row r="80" spans="1:3" ht="15.75">
      <c r="A80" s="1275" t="s">
        <v>1136</v>
      </c>
      <c r="B80" s="1278" t="s">
        <v>680</v>
      </c>
      <c r="C80" s="1277">
        <f>'12.sz.m.mérleg'!G186</f>
        <v>0</v>
      </c>
    </row>
    <row r="81" spans="1:3" ht="15.75">
      <c r="A81" s="1275" t="s">
        <v>1137</v>
      </c>
      <c r="B81" s="1278" t="s">
        <v>682</v>
      </c>
      <c r="C81" s="1277">
        <f>'12.sz.m.mérleg'!G190</f>
        <v>17445000</v>
      </c>
    </row>
    <row r="82" spans="1:3" ht="15.75">
      <c r="A82" s="1275" t="s">
        <v>1138</v>
      </c>
      <c r="B82" s="1278" t="s">
        <v>684</v>
      </c>
      <c r="C82" s="1279">
        <f>'12.sz.m.mérleg'!G191</f>
        <v>-10327127</v>
      </c>
    </row>
    <row r="83" spans="1:3" ht="15.75">
      <c r="A83" s="1275" t="s">
        <v>1139</v>
      </c>
      <c r="B83" s="1278" t="s">
        <v>686</v>
      </c>
      <c r="C83" s="1279">
        <f>'12.sz.m.mérleg'!G192</f>
        <v>0</v>
      </c>
    </row>
    <row r="84" spans="1:3" ht="15.75">
      <c r="A84" s="1275" t="s">
        <v>1140</v>
      </c>
      <c r="B84" s="1278" t="s">
        <v>688</v>
      </c>
      <c r="C84" s="1279">
        <f>'12.sz.m.mérleg'!G193</f>
        <v>-7053340</v>
      </c>
    </row>
    <row r="85" spans="1:3" ht="15.75">
      <c r="A85" s="1275" t="s">
        <v>1141</v>
      </c>
      <c r="B85" s="1280" t="s">
        <v>690</v>
      </c>
      <c r="C85" s="1281">
        <f>SUM(C79:C84)</f>
        <v>64533</v>
      </c>
    </row>
    <row r="86" spans="1:3" ht="15.75">
      <c r="A86" s="1275" t="s">
        <v>1142</v>
      </c>
      <c r="B86" s="1278" t="s">
        <v>692</v>
      </c>
      <c r="C86" s="1282">
        <f>'12.sz.m.mérleg'!G220</f>
        <v>0</v>
      </c>
    </row>
    <row r="87" spans="1:3" ht="15.75">
      <c r="A87" s="1275" t="s">
        <v>1143</v>
      </c>
      <c r="B87" s="1278" t="s">
        <v>694</v>
      </c>
      <c r="C87" s="1279">
        <f>'12.sz.m.mérleg'!G244</f>
        <v>0</v>
      </c>
    </row>
    <row r="88" spans="1:3" ht="15.75">
      <c r="A88" s="1275" t="s">
        <v>1144</v>
      </c>
      <c r="B88" s="1278" t="s">
        <v>436</v>
      </c>
      <c r="C88" s="1279">
        <f>'12.sz.m.mérleg'!G255</f>
        <v>0</v>
      </c>
    </row>
    <row r="89" spans="1:3" ht="15.75">
      <c r="A89" s="1275" t="s">
        <v>1145</v>
      </c>
      <c r="B89" s="1280" t="s">
        <v>439</v>
      </c>
      <c r="C89" s="1281">
        <f>C86+C87+C88</f>
        <v>0</v>
      </c>
    </row>
    <row r="90" spans="1:3" ht="15.75">
      <c r="A90" s="1275" t="s">
        <v>1080</v>
      </c>
      <c r="B90" s="1280" t="s">
        <v>440</v>
      </c>
      <c r="C90" s="1279"/>
    </row>
    <row r="91" spans="1:3" ht="15.75">
      <c r="A91" s="1275" t="s">
        <v>1146</v>
      </c>
      <c r="B91" s="1280" t="s">
        <v>441</v>
      </c>
      <c r="C91" s="1283">
        <f>'12.sz.m.mérleg'!G261</f>
        <v>5989573</v>
      </c>
    </row>
    <row r="92" spans="1:3" ht="16.5" thickBot="1">
      <c r="A92" s="1284" t="s">
        <v>1147</v>
      </c>
      <c r="B92" s="1285" t="s">
        <v>442</v>
      </c>
      <c r="C92" s="1286">
        <f>C85+C89+C90+C91</f>
        <v>6054106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 scale="94" r:id="rId1"/>
  <headerFooter alignWithMargins="0">
    <oddHeader>&amp;R13/c. 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F41"/>
  <sheetViews>
    <sheetView workbookViewId="0" topLeftCell="A1">
      <selection activeCell="D22" sqref="D22"/>
    </sheetView>
  </sheetViews>
  <sheetFormatPr defaultColWidth="10.7109375" defaultRowHeight="12.75"/>
  <cols>
    <col min="1" max="1" width="67.7109375" style="1226" customWidth="1"/>
    <col min="2" max="2" width="11.421875" style="1226" customWidth="1"/>
    <col min="3" max="3" width="12.7109375" style="1226" customWidth="1"/>
    <col min="4" max="4" width="18.00390625" style="1226" customWidth="1"/>
    <col min="5" max="5" width="18.57421875" style="1226" customWidth="1"/>
    <col min="6" max="16384" width="10.7109375" style="1183" customWidth="1"/>
  </cols>
  <sheetData>
    <row r="1" spans="1:6" ht="15.75">
      <c r="A1" s="1508" t="s">
        <v>1150</v>
      </c>
      <c r="B1" s="1508"/>
      <c r="C1" s="1508"/>
      <c r="D1" s="1508"/>
      <c r="E1" s="1508"/>
      <c r="F1" s="1137"/>
    </row>
    <row r="2" spans="1:6" ht="15.75">
      <c r="A2" s="1508" t="s">
        <v>1149</v>
      </c>
      <c r="B2" s="1508"/>
      <c r="C2" s="1508"/>
      <c r="D2" s="1508"/>
      <c r="E2" s="1508"/>
      <c r="F2" s="1137"/>
    </row>
    <row r="3" spans="1:6" ht="15.75">
      <c r="A3" s="1508" t="s">
        <v>522</v>
      </c>
      <c r="B3" s="1508"/>
      <c r="C3" s="1508"/>
      <c r="D3" s="1508"/>
      <c r="E3" s="1508"/>
      <c r="F3" s="1137"/>
    </row>
    <row r="4" spans="1:6" ht="48" customHeight="1">
      <c r="A4" s="1270"/>
      <c r="B4" s="1270"/>
      <c r="C4" s="1270"/>
      <c r="D4" s="1270"/>
      <c r="E4" s="1270"/>
      <c r="F4" s="1137"/>
    </row>
    <row r="5" spans="1:6" ht="16.5" thickBot="1">
      <c r="A5" s="1184" t="s">
        <v>1148</v>
      </c>
      <c r="B5" s="1163"/>
      <c r="C5" s="1163"/>
      <c r="D5" s="1509" t="s">
        <v>807</v>
      </c>
      <c r="E5" s="1509"/>
      <c r="F5" s="1137"/>
    </row>
    <row r="6" spans="1:6" ht="54" customHeight="1" thickBot="1">
      <c r="A6" s="1185" t="s">
        <v>4</v>
      </c>
      <c r="B6" s="1186" t="s">
        <v>6</v>
      </c>
      <c r="C6" s="1187" t="s">
        <v>808</v>
      </c>
      <c r="D6" s="1188" t="s">
        <v>809</v>
      </c>
      <c r="E6" s="1189" t="s">
        <v>810</v>
      </c>
      <c r="F6" s="1137"/>
    </row>
    <row r="7" spans="1:6" ht="16.5" thickBot="1">
      <c r="A7" s="1190" t="s">
        <v>649</v>
      </c>
      <c r="B7" s="1191" t="s">
        <v>15</v>
      </c>
      <c r="C7" s="1191" t="s">
        <v>650</v>
      </c>
      <c r="D7" s="1192" t="s">
        <v>651</v>
      </c>
      <c r="E7" s="1193"/>
      <c r="F7" s="1137"/>
    </row>
    <row r="8" spans="1:6" ht="15.75" customHeight="1">
      <c r="A8" s="1194" t="s">
        <v>811</v>
      </c>
      <c r="B8" s="1195" t="s">
        <v>29</v>
      </c>
      <c r="C8" s="1196">
        <v>108</v>
      </c>
      <c r="D8" s="1197">
        <v>61550333</v>
      </c>
      <c r="E8" s="1198"/>
      <c r="F8" s="1137"/>
    </row>
    <row r="9" spans="1:6" ht="15.75" customHeight="1">
      <c r="A9" s="1194" t="s">
        <v>812</v>
      </c>
      <c r="B9" s="1199" t="s">
        <v>30</v>
      </c>
      <c r="C9" s="1200"/>
      <c r="D9" s="1201"/>
      <c r="E9" s="1202"/>
      <c r="F9" s="1137"/>
    </row>
    <row r="10" spans="1:6" ht="15.75" customHeight="1">
      <c r="A10" s="1194" t="s">
        <v>813</v>
      </c>
      <c r="B10" s="1203" t="s">
        <v>10</v>
      </c>
      <c r="C10" s="1200">
        <v>10</v>
      </c>
      <c r="D10" s="1201">
        <v>1052426</v>
      </c>
      <c r="E10" s="1202"/>
      <c r="F10" s="1137"/>
    </row>
    <row r="11" spans="1:6" ht="15.75" customHeight="1" thickBot="1">
      <c r="A11" s="1204" t="s">
        <v>814</v>
      </c>
      <c r="B11" s="1205" t="s">
        <v>11</v>
      </c>
      <c r="C11" s="1206"/>
      <c r="D11" s="1207"/>
      <c r="E11" s="1208"/>
      <c r="F11" s="1137"/>
    </row>
    <row r="12" spans="1:6" ht="15.75" customHeight="1" thickBot="1">
      <c r="A12" s="1209" t="s">
        <v>815</v>
      </c>
      <c r="B12" s="1210" t="s">
        <v>12</v>
      </c>
      <c r="C12" s="1211">
        <f>SUM(C13:C16)</f>
        <v>4</v>
      </c>
      <c r="D12" s="1211">
        <f>SUM(D13:D16)</f>
        <v>49928246</v>
      </c>
      <c r="E12" s="1212">
        <f>SUM(E8:E11)</f>
        <v>0</v>
      </c>
      <c r="F12" s="1137"/>
    </row>
    <row r="13" spans="1:6" ht="15.75" customHeight="1">
      <c r="A13" s="1213" t="s">
        <v>816</v>
      </c>
      <c r="B13" s="1195" t="s">
        <v>13</v>
      </c>
      <c r="C13" s="1196">
        <v>4</v>
      </c>
      <c r="D13" s="1214">
        <v>49928246</v>
      </c>
      <c r="E13" s="1198"/>
      <c r="F13" s="1137"/>
    </row>
    <row r="14" spans="1:6" ht="15.75" customHeight="1">
      <c r="A14" s="1194" t="s">
        <v>817</v>
      </c>
      <c r="B14" s="1215" t="s">
        <v>14</v>
      </c>
      <c r="C14" s="1200"/>
      <c r="D14" s="1201"/>
      <c r="E14" s="1216"/>
      <c r="F14" s="1137"/>
    </row>
    <row r="15" spans="1:6" ht="15.75" customHeight="1">
      <c r="A15" s="1194" t="s">
        <v>818</v>
      </c>
      <c r="B15" s="1215" t="s">
        <v>61</v>
      </c>
      <c r="C15" s="1200"/>
      <c r="D15" s="1201"/>
      <c r="E15" s="1216"/>
      <c r="F15" s="1137"/>
    </row>
    <row r="16" spans="1:6" ht="15.75" customHeight="1" thickBot="1">
      <c r="A16" s="1204" t="s">
        <v>819</v>
      </c>
      <c r="B16" s="1205" t="s">
        <v>62</v>
      </c>
      <c r="C16" s="1206"/>
      <c r="D16" s="1207"/>
      <c r="E16" s="1217"/>
      <c r="F16" s="1137"/>
    </row>
    <row r="17" spans="1:6" ht="15.75" customHeight="1" thickBot="1">
      <c r="A17" s="1209" t="s">
        <v>820</v>
      </c>
      <c r="B17" s="1218" t="s">
        <v>436</v>
      </c>
      <c r="C17" s="1219"/>
      <c r="D17" s="1220">
        <f>+D18+D19+D20</f>
        <v>0</v>
      </c>
      <c r="E17" s="1193"/>
      <c r="F17" s="1137"/>
    </row>
    <row r="18" spans="1:6" ht="15.75" customHeight="1">
      <c r="A18" s="1213" t="s">
        <v>821</v>
      </c>
      <c r="B18" s="1195" t="s">
        <v>439</v>
      </c>
      <c r="C18" s="1196"/>
      <c r="D18" s="1214"/>
      <c r="E18" s="1221"/>
      <c r="F18" s="1137"/>
    </row>
    <row r="19" spans="1:6" ht="15.75" customHeight="1">
      <c r="A19" s="1194" t="s">
        <v>822</v>
      </c>
      <c r="B19" s="1215" t="s">
        <v>440</v>
      </c>
      <c r="C19" s="1200"/>
      <c r="D19" s="1201"/>
      <c r="E19" s="1216"/>
      <c r="F19" s="1137"/>
    </row>
    <row r="20" spans="1:6" ht="15.75" customHeight="1" thickBot="1">
      <c r="A20" s="1204" t="s">
        <v>823</v>
      </c>
      <c r="B20" s="1205" t="s">
        <v>441</v>
      </c>
      <c r="C20" s="1206"/>
      <c r="D20" s="1207"/>
      <c r="E20" s="1217"/>
      <c r="F20" s="1137"/>
    </row>
    <row r="21" spans="1:6" ht="15.75" customHeight="1" thickBot="1">
      <c r="A21" s="1209" t="s">
        <v>824</v>
      </c>
      <c r="B21" s="1218" t="s">
        <v>442</v>
      </c>
      <c r="C21" s="1219"/>
      <c r="D21" s="1220">
        <f>+D22+D23+D24</f>
        <v>0</v>
      </c>
      <c r="E21" s="1193"/>
      <c r="F21" s="1137"/>
    </row>
    <row r="22" spans="1:6" ht="15.75" customHeight="1">
      <c r="A22" s="1213" t="s">
        <v>825</v>
      </c>
      <c r="B22" s="1195" t="s">
        <v>443</v>
      </c>
      <c r="C22" s="1196"/>
      <c r="D22" s="1214"/>
      <c r="E22" s="1221"/>
      <c r="F22" s="1137"/>
    </row>
    <row r="23" spans="1:6" ht="15.75" customHeight="1">
      <c r="A23" s="1194" t="s">
        <v>826</v>
      </c>
      <c r="B23" s="1215" t="s">
        <v>702</v>
      </c>
      <c r="C23" s="1200"/>
      <c r="D23" s="1201"/>
      <c r="E23" s="1216"/>
      <c r="F23" s="1137"/>
    </row>
    <row r="24" spans="1:6" ht="15.75" customHeight="1">
      <c r="A24" s="1194" t="s">
        <v>827</v>
      </c>
      <c r="B24" s="1215" t="s">
        <v>704</v>
      </c>
      <c r="C24" s="1200"/>
      <c r="D24" s="1201"/>
      <c r="E24" s="1216"/>
      <c r="F24" s="1137"/>
    </row>
    <row r="25" spans="1:6" ht="15.75" customHeight="1">
      <c r="A25" s="1194" t="s">
        <v>828</v>
      </c>
      <c r="B25" s="1215" t="s">
        <v>706</v>
      </c>
      <c r="C25" s="1200"/>
      <c r="D25" s="1201"/>
      <c r="E25" s="1216"/>
      <c r="F25" s="1137"/>
    </row>
    <row r="26" spans="1:6" ht="15.75" customHeight="1">
      <c r="A26" s="1194"/>
      <c r="B26" s="1215" t="s">
        <v>708</v>
      </c>
      <c r="C26" s="1200"/>
      <c r="D26" s="1201"/>
      <c r="E26" s="1216"/>
      <c r="F26" s="1137"/>
    </row>
    <row r="27" spans="1:6" ht="15.75" customHeight="1">
      <c r="A27" s="1194"/>
      <c r="B27" s="1215" t="s">
        <v>710</v>
      </c>
      <c r="C27" s="1200"/>
      <c r="D27" s="1201"/>
      <c r="E27" s="1216"/>
      <c r="F27" s="1137"/>
    </row>
    <row r="28" spans="1:6" ht="15.75" customHeight="1">
      <c r="A28" s="1194"/>
      <c r="B28" s="1215" t="s">
        <v>712</v>
      </c>
      <c r="C28" s="1200"/>
      <c r="D28" s="1201"/>
      <c r="E28" s="1216"/>
      <c r="F28" s="1137"/>
    </row>
    <row r="29" spans="1:6" ht="15.75" customHeight="1">
      <c r="A29" s="1194"/>
      <c r="B29" s="1215" t="s">
        <v>714</v>
      </c>
      <c r="C29" s="1200"/>
      <c r="D29" s="1201"/>
      <c r="E29" s="1216"/>
      <c r="F29" s="1137"/>
    </row>
    <row r="30" spans="1:6" ht="15.75" customHeight="1">
      <c r="A30" s="1194"/>
      <c r="B30" s="1215" t="s">
        <v>716</v>
      </c>
      <c r="C30" s="1200"/>
      <c r="D30" s="1201"/>
      <c r="E30" s="1216"/>
      <c r="F30" s="1137"/>
    </row>
    <row r="31" spans="1:6" ht="15.75" customHeight="1">
      <c r="A31" s="1194"/>
      <c r="B31" s="1215" t="s">
        <v>718</v>
      </c>
      <c r="C31" s="1200"/>
      <c r="D31" s="1201"/>
      <c r="E31" s="1216"/>
      <c r="F31" s="1137"/>
    </row>
    <row r="32" spans="1:6" ht="15.75" customHeight="1">
      <c r="A32" s="1194"/>
      <c r="B32" s="1215" t="s">
        <v>720</v>
      </c>
      <c r="C32" s="1200"/>
      <c r="D32" s="1201"/>
      <c r="E32" s="1216"/>
      <c r="F32" s="1137"/>
    </row>
    <row r="33" spans="1:6" ht="15.75" customHeight="1">
      <c r="A33" s="1194"/>
      <c r="B33" s="1215" t="s">
        <v>722</v>
      </c>
      <c r="C33" s="1200"/>
      <c r="D33" s="1201"/>
      <c r="E33" s="1216"/>
      <c r="F33" s="1137"/>
    </row>
    <row r="34" spans="1:6" ht="15.75" customHeight="1">
      <c r="A34" s="1194"/>
      <c r="B34" s="1215" t="s">
        <v>724</v>
      </c>
      <c r="C34" s="1200"/>
      <c r="D34" s="1201"/>
      <c r="E34" s="1216"/>
      <c r="F34" s="1137"/>
    </row>
    <row r="35" spans="1:6" ht="15.75" customHeight="1">
      <c r="A35" s="1194"/>
      <c r="B35" s="1215" t="s">
        <v>726</v>
      </c>
      <c r="C35" s="1200"/>
      <c r="D35" s="1201"/>
      <c r="E35" s="1216"/>
      <c r="F35" s="1137"/>
    </row>
    <row r="36" spans="1:6" ht="15.75" customHeight="1">
      <c r="A36" s="1194"/>
      <c r="B36" s="1215" t="s">
        <v>728</v>
      </c>
      <c r="C36" s="1200"/>
      <c r="D36" s="1201"/>
      <c r="E36" s="1216"/>
      <c r="F36" s="1137"/>
    </row>
    <row r="37" spans="1:6" ht="15.75" customHeight="1">
      <c r="A37" s="1194"/>
      <c r="B37" s="1215" t="s">
        <v>730</v>
      </c>
      <c r="C37" s="1200"/>
      <c r="D37" s="1201"/>
      <c r="E37" s="1216"/>
      <c r="F37" s="1137"/>
    </row>
    <row r="38" spans="1:6" ht="15.75" customHeight="1">
      <c r="A38" s="1194"/>
      <c r="B38" s="1215" t="s">
        <v>732</v>
      </c>
      <c r="C38" s="1200"/>
      <c r="D38" s="1201"/>
      <c r="E38" s="1216"/>
      <c r="F38" s="1137"/>
    </row>
    <row r="39" spans="1:6" ht="15.75" customHeight="1">
      <c r="A39" s="1194"/>
      <c r="B39" s="1215" t="s">
        <v>734</v>
      </c>
      <c r="C39" s="1200"/>
      <c r="D39" s="1201"/>
      <c r="E39" s="1216"/>
      <c r="F39" s="1137"/>
    </row>
    <row r="40" spans="1:6" ht="15.75" customHeight="1" thickBot="1">
      <c r="A40" s="1204"/>
      <c r="B40" s="1205" t="s">
        <v>736</v>
      </c>
      <c r="C40" s="1206"/>
      <c r="D40" s="1207"/>
      <c r="E40" s="1217"/>
      <c r="F40" s="1137"/>
    </row>
    <row r="41" spans="1:6" ht="15.75" customHeight="1" thickBot="1">
      <c r="A41" s="1510" t="s">
        <v>829</v>
      </c>
      <c r="B41" s="1510"/>
      <c r="C41" s="1222"/>
      <c r="D41" s="1223">
        <f>SUM(D8+D9+D11+D12)</f>
        <v>111478579</v>
      </c>
      <c r="E41" s="1224">
        <f>E12+E17+E21+E22+E23+E24+E25</f>
        <v>0</v>
      </c>
      <c r="F41" s="1225"/>
    </row>
  </sheetData>
  <sheetProtection selectLockedCells="1" selectUnlockedCells="1"/>
  <mergeCells count="5">
    <mergeCell ref="A1:E1"/>
    <mergeCell ref="D5:E5"/>
    <mergeCell ref="A41:B41"/>
    <mergeCell ref="A2:E2"/>
    <mergeCell ref="A3:E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&amp;R13/d. számú melléklet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"/>
  <sheetViews>
    <sheetView zoomScale="70" zoomScaleNormal="70" workbookViewId="0" topLeftCell="A4">
      <selection activeCell="M62" sqref="M62"/>
    </sheetView>
  </sheetViews>
  <sheetFormatPr defaultColWidth="9.140625" defaultRowHeight="12.75"/>
  <cols>
    <col min="1" max="1" width="7.7109375" style="122" customWidth="1"/>
    <col min="2" max="2" width="3.8515625" style="129" customWidth="1"/>
    <col min="3" max="3" width="5.28125" style="129" customWidth="1"/>
    <col min="4" max="4" width="66.57421875" style="130" customWidth="1"/>
    <col min="5" max="5" width="22.57421875" style="1" customWidth="1"/>
    <col min="6" max="9" width="16.8515625" style="1" hidden="1" customWidth="1"/>
    <col min="10" max="12" width="16.8515625" style="1" customWidth="1"/>
    <col min="13" max="13" width="16.8515625" style="80" customWidth="1"/>
    <col min="14" max="17" width="16.8515625" style="80" hidden="1" customWidth="1"/>
    <col min="18" max="21" width="16.8515625" style="80" customWidth="1"/>
    <col min="22" max="25" width="16.8515625" style="80" hidden="1" customWidth="1"/>
    <col min="26" max="29" width="16.8515625" style="80" customWidth="1"/>
    <col min="30" max="33" width="16.8515625" style="1" hidden="1" customWidth="1"/>
    <col min="34" max="36" width="16.8515625" style="1" customWidth="1"/>
    <col min="37" max="37" width="16.8515625" style="1" hidden="1" customWidth="1"/>
    <col min="38" max="38" width="16.8515625" style="1" customWidth="1"/>
    <col min="39" max="16384" width="9.140625" style="1" customWidth="1"/>
  </cols>
  <sheetData>
    <row r="1" spans="1:29" ht="24.75" customHeight="1">
      <c r="A1" s="1341" t="s">
        <v>8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  <c r="S1" s="1341"/>
      <c r="T1" s="1341"/>
      <c r="U1" s="1341"/>
      <c r="V1" s="1341"/>
      <c r="W1" s="1341"/>
      <c r="X1" s="1341"/>
      <c r="Y1" s="1341"/>
      <c r="Z1" s="1341"/>
      <c r="AA1" s="1341"/>
      <c r="AB1" s="1341"/>
      <c r="AC1" s="1341"/>
    </row>
    <row r="2" spans="1:29" ht="14.25" customHeight="1" thickBot="1">
      <c r="A2" s="902" t="s">
        <v>200</v>
      </c>
      <c r="B2" s="902"/>
      <c r="C2" s="121"/>
      <c r="D2" s="140"/>
      <c r="AC2" s="137" t="s">
        <v>505</v>
      </c>
    </row>
    <row r="3" spans="1:36" s="2" customFormat="1" ht="48.75" customHeight="1" thickBot="1">
      <c r="A3" s="1342" t="s">
        <v>4</v>
      </c>
      <c r="B3" s="1309"/>
      <c r="C3" s="1309"/>
      <c r="D3" s="1309"/>
      <c r="E3" s="456" t="s">
        <v>5</v>
      </c>
      <c r="F3" s="414"/>
      <c r="G3" s="414"/>
      <c r="H3" s="414"/>
      <c r="I3" s="414"/>
      <c r="J3" s="415"/>
      <c r="K3" s="960"/>
      <c r="L3" s="960"/>
      <c r="M3" s="456" t="s">
        <v>65</v>
      </c>
      <c r="N3" s="414"/>
      <c r="O3" s="414"/>
      <c r="P3" s="414"/>
      <c r="Q3" s="414"/>
      <c r="R3" s="896"/>
      <c r="S3" s="896"/>
      <c r="T3" s="415"/>
      <c r="U3" s="456" t="s">
        <v>66</v>
      </c>
      <c r="V3" s="414"/>
      <c r="W3" s="414"/>
      <c r="X3" s="414"/>
      <c r="Y3" s="414"/>
      <c r="Z3" s="415"/>
      <c r="AA3" s="960"/>
      <c r="AB3" s="960"/>
      <c r="AC3" s="1343" t="s">
        <v>70</v>
      </c>
      <c r="AD3" s="1344"/>
      <c r="AE3" s="1344"/>
      <c r="AF3" s="1344"/>
      <c r="AG3" s="1344"/>
      <c r="AH3" s="1344"/>
      <c r="AI3" s="1345"/>
      <c r="AJ3" s="1346"/>
    </row>
    <row r="4" spans="1:37" s="2" customFormat="1" ht="16.5" thickBot="1">
      <c r="A4" s="312"/>
      <c r="B4" s="310"/>
      <c r="C4" s="310"/>
      <c r="D4" s="310"/>
      <c r="E4" s="365" t="s">
        <v>69</v>
      </c>
      <c r="F4" s="366" t="s">
        <v>237</v>
      </c>
      <c r="G4" s="366" t="s">
        <v>240</v>
      </c>
      <c r="H4" s="366" t="s">
        <v>243</v>
      </c>
      <c r="I4" s="366" t="s">
        <v>259</v>
      </c>
      <c r="J4" s="367" t="s">
        <v>264</v>
      </c>
      <c r="K4" s="1021" t="s">
        <v>246</v>
      </c>
      <c r="L4" s="1021" t="s">
        <v>247</v>
      </c>
      <c r="M4" s="365" t="s">
        <v>69</v>
      </c>
      <c r="N4" s="366" t="s">
        <v>237</v>
      </c>
      <c r="O4" s="366" t="s">
        <v>240</v>
      </c>
      <c r="P4" s="366" t="s">
        <v>243</v>
      </c>
      <c r="Q4" s="366" t="s">
        <v>259</v>
      </c>
      <c r="R4" s="366" t="s">
        <v>264</v>
      </c>
      <c r="S4" s="1021" t="s">
        <v>246</v>
      </c>
      <c r="T4" s="1021" t="s">
        <v>247</v>
      </c>
      <c r="U4" s="365" t="s">
        <v>69</v>
      </c>
      <c r="V4" s="366" t="s">
        <v>237</v>
      </c>
      <c r="W4" s="366" t="s">
        <v>240</v>
      </c>
      <c r="X4" s="366" t="s">
        <v>243</v>
      </c>
      <c r="Y4" s="366" t="s">
        <v>259</v>
      </c>
      <c r="Z4" s="367" t="s">
        <v>264</v>
      </c>
      <c r="AA4" s="1021" t="s">
        <v>246</v>
      </c>
      <c r="AB4" s="1021" t="s">
        <v>247</v>
      </c>
      <c r="AC4" s="365" t="s">
        <v>69</v>
      </c>
      <c r="AD4" s="366" t="s">
        <v>237</v>
      </c>
      <c r="AE4" s="366" t="s">
        <v>240</v>
      </c>
      <c r="AF4" s="366" t="s">
        <v>243</v>
      </c>
      <c r="AG4" s="366" t="s">
        <v>259</v>
      </c>
      <c r="AH4" s="366" t="s">
        <v>264</v>
      </c>
      <c r="AI4" s="1021" t="s">
        <v>246</v>
      </c>
      <c r="AJ4" s="1021" t="s">
        <v>247</v>
      </c>
      <c r="AK4" s="882"/>
    </row>
    <row r="5" spans="1:36" s="79" customFormat="1" ht="33" customHeight="1" thickBot="1">
      <c r="A5" s="114" t="s">
        <v>29</v>
      </c>
      <c r="B5" s="1329" t="s">
        <v>82</v>
      </c>
      <c r="C5" s="1329"/>
      <c r="D5" s="1329"/>
      <c r="E5" s="368">
        <f aca="true" t="shared" si="0" ref="E5:O5">SUM(E6:E10)</f>
        <v>484100201</v>
      </c>
      <c r="F5" s="299">
        <f t="shared" si="0"/>
        <v>484281258</v>
      </c>
      <c r="G5" s="299">
        <f t="shared" si="0"/>
        <v>484813454</v>
      </c>
      <c r="H5" s="299">
        <f>SUM(H6:H10)</f>
        <v>489161861</v>
      </c>
      <c r="I5" s="299">
        <f>SUM(I6:I10)</f>
        <v>490396664</v>
      </c>
      <c r="J5" s="299">
        <f>SUM(J6:J10)</f>
        <v>568626446</v>
      </c>
      <c r="K5" s="299">
        <f>SUM(K6:K10)</f>
        <v>451622921</v>
      </c>
      <c r="L5" s="770">
        <f>K5/J5</f>
        <v>0.7942348165072857</v>
      </c>
      <c r="M5" s="368">
        <f t="shared" si="0"/>
        <v>468452408</v>
      </c>
      <c r="N5" s="299">
        <f>SUM(N6:N10)</f>
        <v>468633465</v>
      </c>
      <c r="O5" s="299">
        <f t="shared" si="0"/>
        <v>469155661</v>
      </c>
      <c r="P5" s="299">
        <f>SUM(P6:P10)</f>
        <v>473274068</v>
      </c>
      <c r="Q5" s="299">
        <f>SUM(Q6:Q10)</f>
        <v>474508871</v>
      </c>
      <c r="R5" s="299">
        <f>SUM(R6:R10)</f>
        <v>552976113</v>
      </c>
      <c r="S5" s="299">
        <f>SUM(S6:S10)</f>
        <v>439395104</v>
      </c>
      <c r="T5" s="770">
        <f>S5/R5</f>
        <v>0.7946005146880549</v>
      </c>
      <c r="U5" s="368">
        <f aca="true" t="shared" si="1" ref="U5:AA5">SUM(U6:U10)</f>
        <v>15647793</v>
      </c>
      <c r="V5" s="299">
        <f t="shared" si="1"/>
        <v>15647793</v>
      </c>
      <c r="W5" s="299">
        <f t="shared" si="1"/>
        <v>15657793</v>
      </c>
      <c r="X5" s="299">
        <f t="shared" si="1"/>
        <v>15887793</v>
      </c>
      <c r="Y5" s="299">
        <f t="shared" si="1"/>
        <v>15887793</v>
      </c>
      <c r="Z5" s="299">
        <f t="shared" si="1"/>
        <v>15650333</v>
      </c>
      <c r="AA5" s="299">
        <f t="shared" si="1"/>
        <v>12227817</v>
      </c>
      <c r="AB5" s="770">
        <f>AA5/Z5</f>
        <v>0.7813135349899584</v>
      </c>
      <c r="AC5" s="368">
        <f aca="true" t="shared" si="2" ref="AC5:AI5">SUM(AC6:AC10)</f>
        <v>4847310</v>
      </c>
      <c r="AD5" s="299">
        <f t="shared" si="2"/>
        <v>4847310</v>
      </c>
      <c r="AE5" s="299">
        <f t="shared" si="2"/>
        <v>4847310</v>
      </c>
      <c r="AF5" s="299">
        <f t="shared" si="2"/>
        <v>4847310</v>
      </c>
      <c r="AG5" s="299">
        <f t="shared" si="2"/>
        <v>4847310</v>
      </c>
      <c r="AH5" s="299">
        <f t="shared" si="2"/>
        <v>4847310</v>
      </c>
      <c r="AI5" s="299">
        <f t="shared" si="2"/>
        <v>4551213</v>
      </c>
      <c r="AJ5" s="770">
        <f>AI5/AH5</f>
        <v>0.9389151921374949</v>
      </c>
    </row>
    <row r="6" spans="1:36" s="5" customFormat="1" ht="33" customHeight="1">
      <c r="A6" s="113"/>
      <c r="B6" s="118" t="s">
        <v>38</v>
      </c>
      <c r="C6" s="118"/>
      <c r="D6" s="359" t="s">
        <v>0</v>
      </c>
      <c r="E6" s="369">
        <f>'4.sz.m.ÖNK kiadás'!E7+'5.1 sz. m Köz Hiv'!D35+'5.2 sz. m ÁMK'!D38+'üres lap'!D27</f>
        <v>163677296</v>
      </c>
      <c r="F6" s="301">
        <f>'4.sz.m.ÖNK kiadás'!F7+'5.1 sz. m Köz Hiv'!E35+'5.2 sz. m ÁMK'!E38+'üres lap'!E27</f>
        <v>163677296</v>
      </c>
      <c r="G6" s="301">
        <f>'4.sz.m.ÖNK kiadás'!G7+'5.1 sz. m Köz Hiv'!F35+'5.2 sz. m ÁMK'!F38+'üres lap'!F27</f>
        <v>163677296</v>
      </c>
      <c r="H6" s="301">
        <f>'4.sz.m.ÖNK kiadás'!H7+'5.1 sz. m Köz Hiv'!G35+'5.2 sz. m ÁMK'!G38+'üres lap'!G27</f>
        <v>163527298</v>
      </c>
      <c r="I6" s="301">
        <f>'4.sz.m.ÖNK kiadás'!I7+'5.1 sz. m Köz Hiv'!H35+'5.2 sz. m ÁMK'!H38+'üres lap'!H27</f>
        <v>164747298</v>
      </c>
      <c r="J6" s="301">
        <f>'4.sz.m.ÖNK kiadás'!J7+'5.1 sz. m Köz Hiv'!I35+'5.2 sz. m ÁMK'!I38+'üres lap'!I27</f>
        <v>163048619</v>
      </c>
      <c r="K6" s="301">
        <f>'4.sz.m.ÖNK kiadás'!K7+'5.1 sz. m Köz Hiv'!J35+'5.2 sz. m ÁMK'!J38+'üres lap'!J27</f>
        <v>154149192</v>
      </c>
      <c r="L6" s="776">
        <f aca="true" t="shared" si="3" ref="L6:L36">K6/J6</f>
        <v>0.9454185686785854</v>
      </c>
      <c r="M6" s="369">
        <f aca="true" t="shared" si="4" ref="M6:S13">E6-U6</f>
        <v>163677296</v>
      </c>
      <c r="N6" s="301">
        <f t="shared" si="4"/>
        <v>163677296</v>
      </c>
      <c r="O6" s="301">
        <f t="shared" si="4"/>
        <v>163677296</v>
      </c>
      <c r="P6" s="301">
        <f t="shared" si="4"/>
        <v>163527298</v>
      </c>
      <c r="Q6" s="301">
        <f t="shared" si="4"/>
        <v>164747298</v>
      </c>
      <c r="R6" s="301">
        <f t="shared" si="4"/>
        <v>163048619</v>
      </c>
      <c r="S6" s="301">
        <f t="shared" si="4"/>
        <v>154149192</v>
      </c>
      <c r="T6" s="776">
        <f aca="true" t="shared" si="5" ref="T6:T36">S6/R6</f>
        <v>0.9454185686785854</v>
      </c>
      <c r="U6" s="369">
        <f>'4.sz.m.ÖNK kiadás'!U7</f>
        <v>0</v>
      </c>
      <c r="V6" s="301">
        <f>'4.sz.m.ÖNK kiadás'!V7</f>
        <v>0</v>
      </c>
      <c r="W6" s="301">
        <f>'4.sz.m.ÖNK kiadás'!W7</f>
        <v>0</v>
      </c>
      <c r="X6" s="301">
        <f>'4.sz.m.ÖNK kiadás'!X7</f>
        <v>0</v>
      </c>
      <c r="Y6" s="301">
        <f>'4.sz.m.ÖNK kiadás'!Y7</f>
        <v>0</v>
      </c>
      <c r="Z6" s="301">
        <f>'4.sz.m.ÖNK kiadás'!Z7</f>
        <v>0</v>
      </c>
      <c r="AA6" s="301">
        <f>'4.sz.m.ÖNK kiadás'!AA7</f>
        <v>0</v>
      </c>
      <c r="AB6" s="776"/>
      <c r="AC6" s="369">
        <f>'5.1 sz. m Köz Hiv'!T35</f>
        <v>2225600</v>
      </c>
      <c r="AD6" s="301">
        <f>'5.1 sz. m Köz Hiv'!U35</f>
        <v>2225600</v>
      </c>
      <c r="AE6" s="301">
        <f>'5.1 sz. m Köz Hiv'!V35</f>
        <v>2225600</v>
      </c>
      <c r="AF6" s="301">
        <f>'5.1 sz. m Köz Hiv'!W35</f>
        <v>2225600</v>
      </c>
      <c r="AG6" s="301">
        <f>'5.1 sz. m Köz Hiv'!X35</f>
        <v>2225600</v>
      </c>
      <c r="AH6" s="301">
        <f>'5.1 sz. m Köz Hiv'!Y35</f>
        <v>2225600</v>
      </c>
      <c r="AI6" s="301">
        <f>'5.1 sz. m Köz Hiv'!Z35</f>
        <v>2225600</v>
      </c>
      <c r="AJ6" s="776">
        <f>AI6/AH6</f>
        <v>1</v>
      </c>
    </row>
    <row r="7" spans="1:36" s="5" customFormat="1" ht="33" customHeight="1">
      <c r="A7" s="96"/>
      <c r="B7" s="105" t="s">
        <v>39</v>
      </c>
      <c r="C7" s="105"/>
      <c r="D7" s="360" t="s">
        <v>83</v>
      </c>
      <c r="E7" s="369">
        <f>'4.sz.m.ÖNK kiadás'!E8+'5.1 sz. m Köz Hiv'!D36+'5.2 sz. m ÁMK'!D39+'üres lap'!D28</f>
        <v>43314099</v>
      </c>
      <c r="F7" s="301">
        <f>'4.sz.m.ÖNK kiadás'!F8+'5.1 sz. m Köz Hiv'!E36+'5.2 sz. m ÁMK'!E39+'üres lap'!E28</f>
        <v>43314099</v>
      </c>
      <c r="G7" s="301">
        <f>'4.sz.m.ÖNK kiadás'!G8+'5.1 sz. m Köz Hiv'!F36+'5.2 sz. m ÁMK'!F39+'üres lap'!F28</f>
        <v>43314099</v>
      </c>
      <c r="H7" s="301">
        <f>'4.sz.m.ÖNK kiadás'!H8+'5.1 sz. m Köz Hiv'!G36+'5.2 sz. m ÁMK'!G39+'üres lap'!G28</f>
        <v>43327135</v>
      </c>
      <c r="I7" s="301">
        <f>'4.sz.m.ÖNK kiadás'!I8+'5.1 sz. m Köz Hiv'!H36+'5.2 sz. m ÁMK'!H39+'üres lap'!H28</f>
        <v>43677217</v>
      </c>
      <c r="J7" s="301">
        <f>'4.sz.m.ÖNK kiadás'!J8+'5.1 sz. m Köz Hiv'!I36+'5.2 sz. m ÁMK'!I39+'üres lap'!I28</f>
        <v>42890138</v>
      </c>
      <c r="K7" s="301">
        <f>'4.sz.m.ÖNK kiadás'!K8+'5.1 sz. m Köz Hiv'!J36+'5.2 sz. m ÁMK'!J39+'üres lap'!J28</f>
        <v>40386806</v>
      </c>
      <c r="L7" s="776">
        <f t="shared" si="3"/>
        <v>0.9416338553165765</v>
      </c>
      <c r="M7" s="369">
        <f t="shared" si="4"/>
        <v>43314099</v>
      </c>
      <c r="N7" s="301">
        <f t="shared" si="4"/>
        <v>43314099</v>
      </c>
      <c r="O7" s="301">
        <f t="shared" si="4"/>
        <v>43314099</v>
      </c>
      <c r="P7" s="301">
        <f t="shared" si="4"/>
        <v>43327135</v>
      </c>
      <c r="Q7" s="301">
        <f t="shared" si="4"/>
        <v>43677217</v>
      </c>
      <c r="R7" s="301">
        <f t="shared" si="4"/>
        <v>42890138</v>
      </c>
      <c r="S7" s="301">
        <f t="shared" si="4"/>
        <v>40386806</v>
      </c>
      <c r="T7" s="776">
        <f t="shared" si="5"/>
        <v>0.9416338553165765</v>
      </c>
      <c r="U7" s="369">
        <f>'4.sz.m.ÖNK kiadás'!U8</f>
        <v>0</v>
      </c>
      <c r="V7" s="301">
        <f>'4.sz.m.ÖNK kiadás'!V8</f>
        <v>0</v>
      </c>
      <c r="W7" s="301">
        <f>'4.sz.m.ÖNK kiadás'!W8</f>
        <v>0</v>
      </c>
      <c r="X7" s="301">
        <f>'4.sz.m.ÖNK kiadás'!X8</f>
        <v>0</v>
      </c>
      <c r="Y7" s="301">
        <f>'4.sz.m.ÖNK kiadás'!Y8</f>
        <v>0</v>
      </c>
      <c r="Z7" s="301">
        <f>'4.sz.m.ÖNK kiadás'!Z8</f>
        <v>0</v>
      </c>
      <c r="AA7" s="301">
        <f>'4.sz.m.ÖNK kiadás'!AA8</f>
        <v>0</v>
      </c>
      <c r="AB7" s="776"/>
      <c r="AC7" s="369">
        <f>'5.1 sz. m Köz Hiv'!T36</f>
        <v>568827</v>
      </c>
      <c r="AD7" s="301">
        <f>'5.1 sz. m Köz Hiv'!U36</f>
        <v>568827</v>
      </c>
      <c r="AE7" s="301">
        <f>'5.1 sz. m Köz Hiv'!V36</f>
        <v>568827</v>
      </c>
      <c r="AF7" s="301">
        <f>'5.1 sz. m Köz Hiv'!W36</f>
        <v>568827</v>
      </c>
      <c r="AG7" s="301">
        <f>'5.1 sz. m Köz Hiv'!X36</f>
        <v>568827</v>
      </c>
      <c r="AH7" s="301">
        <f>'5.1 sz. m Köz Hiv'!Y36</f>
        <v>568827</v>
      </c>
      <c r="AI7" s="301">
        <f>'5.1 sz. m Köz Hiv'!Z36</f>
        <v>568827</v>
      </c>
      <c r="AJ7" s="776">
        <f>AI7/AH7</f>
        <v>1</v>
      </c>
    </row>
    <row r="8" spans="1:36" s="5" customFormat="1" ht="33" customHeight="1">
      <c r="A8" s="96"/>
      <c r="B8" s="105" t="s">
        <v>40</v>
      </c>
      <c r="C8" s="105"/>
      <c r="D8" s="360" t="s">
        <v>84</v>
      </c>
      <c r="E8" s="369">
        <f>'4.sz.m.ÖNK kiadás'!E9+'5.1 sz. m Köz Hiv'!D37+'5.2 sz. m ÁMK'!D40+'üres lap'!D29</f>
        <v>129033720</v>
      </c>
      <c r="F8" s="301">
        <f>'4.sz.m.ÖNK kiadás'!F9+'5.1 sz. m Köz Hiv'!E37+'5.2 sz. m ÁMK'!E40+'üres lap'!E29</f>
        <v>129033720</v>
      </c>
      <c r="G8" s="301">
        <f>'4.sz.m.ÖNK kiadás'!G9+'5.1 sz. m Köz Hiv'!F37+'5.2 sz. m ÁMK'!F40+'üres lap'!F29</f>
        <v>129553416</v>
      </c>
      <c r="H8" s="301">
        <f>'4.sz.m.ÖNK kiadás'!H9+'5.1 sz. m Köz Hiv'!G37+'5.2 sz. m ÁMK'!G40+'üres lap'!G29</f>
        <v>131773987</v>
      </c>
      <c r="I8" s="301">
        <f>'4.sz.m.ÖNK kiadás'!I9+'5.1 sz. m Köz Hiv'!H37+'5.2 sz. m ÁMK'!H40+'üres lap'!H29</f>
        <v>135071938</v>
      </c>
      <c r="J8" s="301">
        <f>'4.sz.m.ÖNK kiadás'!J9+'5.1 sz. m Köz Hiv'!I37+'5.2 sz. m ÁMK'!I40+'üres lap'!I29</f>
        <v>213916997</v>
      </c>
      <c r="K8" s="301">
        <f>'4.sz.m.ÖNK kiadás'!K9+'5.1 sz. m Köz Hiv'!J37+'5.2 sz. m ÁMK'!J40+'üres lap'!J29</f>
        <v>110964567</v>
      </c>
      <c r="L8" s="776">
        <f t="shared" si="3"/>
        <v>0.5187272098813167</v>
      </c>
      <c r="M8" s="369">
        <f t="shared" si="4"/>
        <v>127191996</v>
      </c>
      <c r="N8" s="301">
        <f t="shared" si="4"/>
        <v>127191996</v>
      </c>
      <c r="O8" s="301">
        <f t="shared" si="4"/>
        <v>127711692</v>
      </c>
      <c r="P8" s="301">
        <f t="shared" si="4"/>
        <v>129932263</v>
      </c>
      <c r="Q8" s="301">
        <f t="shared" si="4"/>
        <v>133230214</v>
      </c>
      <c r="R8" s="301">
        <f t="shared" si="4"/>
        <v>212075273</v>
      </c>
      <c r="S8" s="301">
        <f t="shared" si="4"/>
        <v>109974522</v>
      </c>
      <c r="T8" s="776">
        <f t="shared" si="5"/>
        <v>0.5185636233979998</v>
      </c>
      <c r="U8" s="369">
        <f>'4.sz.m.ÖNK kiadás'!U9</f>
        <v>1841724</v>
      </c>
      <c r="V8" s="301">
        <f>'4.sz.m.ÖNK kiadás'!V9</f>
        <v>1841724</v>
      </c>
      <c r="W8" s="301">
        <f>'4.sz.m.ÖNK kiadás'!W9</f>
        <v>1841724</v>
      </c>
      <c r="X8" s="301">
        <f>'4.sz.m.ÖNK kiadás'!X9</f>
        <v>1841724</v>
      </c>
      <c r="Y8" s="301">
        <f>'4.sz.m.ÖNK kiadás'!Y9</f>
        <v>1841724</v>
      </c>
      <c r="Z8" s="301">
        <f>'4.sz.m.ÖNK kiadás'!Z9</f>
        <v>1841724</v>
      </c>
      <c r="AA8" s="301">
        <f>'4.sz.m.ÖNK kiadás'!AA9</f>
        <v>990045</v>
      </c>
      <c r="AB8" s="776">
        <f aca="true" t="shared" si="6" ref="AB8:AB36">AA8/Z8</f>
        <v>0.5375642604429328</v>
      </c>
      <c r="AC8" s="369">
        <f>'5.1 sz. m Köz Hiv'!T37</f>
        <v>2052883</v>
      </c>
      <c r="AD8" s="301">
        <f>'5.1 sz. m Köz Hiv'!U37</f>
        <v>2052883</v>
      </c>
      <c r="AE8" s="301">
        <f>'5.1 sz. m Köz Hiv'!V37</f>
        <v>2052883</v>
      </c>
      <c r="AF8" s="301">
        <f>'5.1 sz. m Köz Hiv'!W37</f>
        <v>2052883</v>
      </c>
      <c r="AG8" s="301">
        <f>'5.1 sz. m Köz Hiv'!X37</f>
        <v>2052883</v>
      </c>
      <c r="AH8" s="301">
        <f>'5.1 sz. m Köz Hiv'!Y37</f>
        <v>2052883</v>
      </c>
      <c r="AI8" s="301">
        <f>'5.1 sz. m Köz Hiv'!Z37</f>
        <v>1756786</v>
      </c>
      <c r="AJ8" s="776">
        <f>AI8/AH8</f>
        <v>0.855765282288372</v>
      </c>
    </row>
    <row r="9" spans="1:36" s="5" customFormat="1" ht="33" customHeight="1">
      <c r="A9" s="96"/>
      <c r="B9" s="105" t="s">
        <v>51</v>
      </c>
      <c r="C9" s="105"/>
      <c r="D9" s="360" t="s">
        <v>85</v>
      </c>
      <c r="E9" s="369">
        <f>'4.sz.m.ÖNK kiadás'!E10+'5.1 sz. m Köz Hiv'!D38+'5.2 sz. m ÁMK'!D41+'üres lap'!D30</f>
        <v>4774766</v>
      </c>
      <c r="F9" s="301">
        <f>'4.sz.m.ÖNK kiadás'!F10+'5.1 sz. m Köz Hiv'!E38+'5.2 sz. m ÁMK'!E41+'üres lap'!E30</f>
        <v>4774766</v>
      </c>
      <c r="G9" s="301">
        <f>'4.sz.m.ÖNK kiadás'!G10+'5.1 sz. m Köz Hiv'!F38+'5.2 sz. m ÁMK'!F41+'üres lap'!F30</f>
        <v>4777266</v>
      </c>
      <c r="H9" s="301">
        <f>'4.sz.m.ÖNK kiadás'!H10+'5.1 sz. m Köz Hiv'!G38+'5.2 sz. m ÁMK'!G41+'üres lap'!G30</f>
        <v>4777266</v>
      </c>
      <c r="I9" s="301">
        <f>'4.sz.m.ÖNK kiadás'!I10+'5.1 sz. m Köz Hiv'!H38+'5.2 sz. m ÁMK'!H41+'üres lap'!H30</f>
        <v>4755036</v>
      </c>
      <c r="J9" s="301">
        <f>'4.sz.m.ÖNK kiadás'!J10+'5.1 sz. m Köz Hiv'!I38+'5.2 sz. m ÁMK'!I41+'üres lap'!I30</f>
        <v>5787049</v>
      </c>
      <c r="K9" s="301">
        <f>'4.sz.m.ÖNK kiadás'!K10+'5.1 sz. m Köz Hiv'!J38+'5.2 sz. m ÁMK'!J41+'üres lap'!J30</f>
        <v>4607920</v>
      </c>
      <c r="L9" s="776">
        <f t="shared" si="3"/>
        <v>0.7962469299983463</v>
      </c>
      <c r="M9" s="369">
        <f t="shared" si="4"/>
        <v>2024766</v>
      </c>
      <c r="N9" s="301">
        <f t="shared" si="4"/>
        <v>2024766</v>
      </c>
      <c r="O9" s="301">
        <f t="shared" si="4"/>
        <v>2027266</v>
      </c>
      <c r="P9" s="301">
        <f t="shared" si="4"/>
        <v>2027266</v>
      </c>
      <c r="Q9" s="301">
        <f t="shared" si="4"/>
        <v>2005036</v>
      </c>
      <c r="R9" s="301">
        <f t="shared" si="4"/>
        <v>3037049</v>
      </c>
      <c r="S9" s="301">
        <f t="shared" si="4"/>
        <v>2959550</v>
      </c>
      <c r="T9" s="776">
        <f t="shared" si="5"/>
        <v>0.9744821371008502</v>
      </c>
      <c r="U9" s="369">
        <f>'4.sz.m.ÖNK kiadás'!U10</f>
        <v>2750000</v>
      </c>
      <c r="V9" s="301">
        <f>'4.sz.m.ÖNK kiadás'!V10</f>
        <v>2750000</v>
      </c>
      <c r="W9" s="301">
        <f>'4.sz.m.ÖNK kiadás'!W10</f>
        <v>2750000</v>
      </c>
      <c r="X9" s="301">
        <f>'4.sz.m.ÖNK kiadás'!X10</f>
        <v>2750000</v>
      </c>
      <c r="Y9" s="301">
        <f>'4.sz.m.ÖNK kiadás'!Y10</f>
        <v>2750000</v>
      </c>
      <c r="Z9" s="301">
        <f>'4.sz.m.ÖNK kiadás'!Z10</f>
        <v>2750000</v>
      </c>
      <c r="AA9" s="301">
        <f>'4.sz.m.ÖNK kiadás'!AA10</f>
        <v>1648370</v>
      </c>
      <c r="AB9" s="776">
        <f t="shared" si="6"/>
        <v>0.5994072727272727</v>
      </c>
      <c r="AC9" s="369">
        <v>0</v>
      </c>
      <c r="AD9" s="301"/>
      <c r="AE9" s="301"/>
      <c r="AF9" s="301"/>
      <c r="AG9" s="301"/>
      <c r="AH9" s="301"/>
      <c r="AI9" s="301"/>
      <c r="AJ9" s="776"/>
    </row>
    <row r="10" spans="1:36" s="5" customFormat="1" ht="33" customHeight="1">
      <c r="A10" s="96"/>
      <c r="B10" s="105" t="s">
        <v>52</v>
      </c>
      <c r="C10" s="105"/>
      <c r="D10" s="361" t="s">
        <v>87</v>
      </c>
      <c r="E10" s="369">
        <f aca="true" t="shared" si="7" ref="E10:J10">SUM(E11:E15)</f>
        <v>143300320</v>
      </c>
      <c r="F10" s="301">
        <f t="shared" si="7"/>
        <v>143481377</v>
      </c>
      <c r="G10" s="301">
        <f t="shared" si="7"/>
        <v>143491377</v>
      </c>
      <c r="H10" s="301">
        <f t="shared" si="7"/>
        <v>145756175</v>
      </c>
      <c r="I10" s="301">
        <f t="shared" si="7"/>
        <v>142145175</v>
      </c>
      <c r="J10" s="301">
        <f t="shared" si="7"/>
        <v>142983643</v>
      </c>
      <c r="K10" s="301">
        <f>SUM(K11:K15)</f>
        <v>141514436</v>
      </c>
      <c r="L10" s="776">
        <f t="shared" si="3"/>
        <v>0.9897246498328484</v>
      </c>
      <c r="M10" s="369">
        <f t="shared" si="4"/>
        <v>132244251</v>
      </c>
      <c r="N10" s="301">
        <f t="shared" si="4"/>
        <v>132425308</v>
      </c>
      <c r="O10" s="301">
        <f t="shared" si="4"/>
        <v>132425308</v>
      </c>
      <c r="P10" s="301">
        <f t="shared" si="4"/>
        <v>134460106</v>
      </c>
      <c r="Q10" s="301">
        <f t="shared" si="4"/>
        <v>130849106</v>
      </c>
      <c r="R10" s="301">
        <f t="shared" si="4"/>
        <v>131925034</v>
      </c>
      <c r="S10" s="301">
        <f t="shared" si="4"/>
        <v>131925034</v>
      </c>
      <c r="T10" s="776">
        <f t="shared" si="5"/>
        <v>1</v>
      </c>
      <c r="U10" s="369">
        <f>'4.sz.m.ÖNK kiadás'!U11</f>
        <v>11056069</v>
      </c>
      <c r="V10" s="301">
        <f>'4.sz.m.ÖNK kiadás'!V11</f>
        <v>11056069</v>
      </c>
      <c r="W10" s="301">
        <f>'4.sz.m.ÖNK kiadás'!W11</f>
        <v>11066069</v>
      </c>
      <c r="X10" s="301">
        <f>'4.sz.m.ÖNK kiadás'!X11</f>
        <v>11296069</v>
      </c>
      <c r="Y10" s="301">
        <f>'4.sz.m.ÖNK kiadás'!Y11</f>
        <v>11296069</v>
      </c>
      <c r="Z10" s="301">
        <f>'4.sz.m.ÖNK kiadás'!Z11</f>
        <v>11058609</v>
      </c>
      <c r="AA10" s="301">
        <f>'4.sz.m.ÖNK kiadás'!AA11</f>
        <v>9589402</v>
      </c>
      <c r="AB10" s="776">
        <f t="shared" si="6"/>
        <v>0.8671435982590577</v>
      </c>
      <c r="AC10" s="369">
        <v>0</v>
      </c>
      <c r="AD10" s="301"/>
      <c r="AE10" s="301"/>
      <c r="AF10" s="301"/>
      <c r="AG10" s="301"/>
      <c r="AH10" s="301"/>
      <c r="AI10" s="301"/>
      <c r="AJ10" s="776"/>
    </row>
    <row r="11" spans="1:36" s="5" customFormat="1" ht="33" customHeight="1">
      <c r="A11" s="96"/>
      <c r="B11" s="128"/>
      <c r="C11" s="105" t="s">
        <v>86</v>
      </c>
      <c r="D11" s="362" t="s">
        <v>291</v>
      </c>
      <c r="E11" s="369">
        <f>'4.sz.m.ÖNK kiadás'!E12</f>
        <v>0</v>
      </c>
      <c r="F11" s="301">
        <f>'4.sz.m.ÖNK kiadás'!F12</f>
        <v>181057</v>
      </c>
      <c r="G11" s="301">
        <f>'4.sz.m.ÖNK kiadás'!G12</f>
        <v>181057</v>
      </c>
      <c r="H11" s="301">
        <f>'4.sz.m.ÖNK kiadás'!H12+'5.1 sz. m Köz Hiv'!G39+'5.2 sz. m ÁMK'!G42</f>
        <v>2215855</v>
      </c>
      <c r="I11" s="301">
        <f>'4.sz.m.ÖNK kiadás'!I12+'5.1 sz. m Köz Hiv'!H39+'5.2 sz. m ÁMK'!H42</f>
        <v>2215855</v>
      </c>
      <c r="J11" s="301">
        <f>'4.sz.m.ÖNK kiadás'!J12+'5.1 sz. m Köz Hiv'!I39+'5.2 sz. m ÁMK'!I42</f>
        <v>2059726</v>
      </c>
      <c r="K11" s="301">
        <f>'4.sz.m.ÖNK kiadás'!K12+'5.1 sz. m Köz Hiv'!J39+'5.2 sz. m ÁMK'!J42</f>
        <v>2059726</v>
      </c>
      <c r="L11" s="776">
        <f t="shared" si="3"/>
        <v>1</v>
      </c>
      <c r="M11" s="369">
        <f t="shared" si="4"/>
        <v>0</v>
      </c>
      <c r="N11" s="301">
        <f t="shared" si="4"/>
        <v>181057</v>
      </c>
      <c r="O11" s="301">
        <f t="shared" si="4"/>
        <v>181057</v>
      </c>
      <c r="P11" s="301">
        <f t="shared" si="4"/>
        <v>2215855</v>
      </c>
      <c r="Q11" s="301">
        <f t="shared" si="4"/>
        <v>2215855</v>
      </c>
      <c r="R11" s="301">
        <f t="shared" si="4"/>
        <v>2059726</v>
      </c>
      <c r="S11" s="301">
        <f t="shared" si="4"/>
        <v>2059726</v>
      </c>
      <c r="T11" s="776">
        <f t="shared" si="5"/>
        <v>1</v>
      </c>
      <c r="U11" s="369">
        <f>'4.sz.m.ÖNK kiadás'!U12</f>
        <v>0</v>
      </c>
      <c r="V11" s="301">
        <f>'4.sz.m.ÖNK kiadás'!V12</f>
        <v>0</v>
      </c>
      <c r="W11" s="301">
        <f>'4.sz.m.ÖNK kiadás'!W12</f>
        <v>0</v>
      </c>
      <c r="X11" s="301">
        <f>'4.sz.m.ÖNK kiadás'!X12</f>
        <v>0</v>
      </c>
      <c r="Y11" s="301">
        <f>'4.sz.m.ÖNK kiadás'!Y12</f>
        <v>0</v>
      </c>
      <c r="Z11" s="301">
        <f>'4.sz.m.ÖNK kiadás'!Z12</f>
        <v>0</v>
      </c>
      <c r="AA11" s="301">
        <f>'4.sz.m.ÖNK kiadás'!AA12</f>
        <v>0</v>
      </c>
      <c r="AB11" s="776"/>
      <c r="AC11" s="369">
        <v>0</v>
      </c>
      <c r="AD11" s="301"/>
      <c r="AE11" s="301"/>
      <c r="AF11" s="301"/>
      <c r="AG11" s="301"/>
      <c r="AH11" s="301"/>
      <c r="AI11" s="301"/>
      <c r="AJ11" s="776"/>
    </row>
    <row r="12" spans="1:36" s="5" customFormat="1" ht="57.75" customHeight="1">
      <c r="A12" s="96"/>
      <c r="B12" s="105"/>
      <c r="C12" s="105" t="s">
        <v>88</v>
      </c>
      <c r="D12" s="360" t="s">
        <v>292</v>
      </c>
      <c r="E12" s="369">
        <f>'4.sz.m.ÖNK kiadás'!E13</f>
        <v>10018325</v>
      </c>
      <c r="F12" s="301">
        <f>'4.sz.m.ÖNK kiadás'!F13</f>
        <v>10018325</v>
      </c>
      <c r="G12" s="301">
        <f>'4.sz.m.ÖNK kiadás'!G13</f>
        <v>10028325</v>
      </c>
      <c r="H12" s="301">
        <f>'4.sz.m.ÖNK kiadás'!H13</f>
        <v>10258325</v>
      </c>
      <c r="I12" s="301">
        <f>'4.sz.m.ÖNK kiadás'!I13</f>
        <v>10258325</v>
      </c>
      <c r="J12" s="301">
        <f>'4.sz.m.ÖNK kiadás'!J13</f>
        <v>10258325</v>
      </c>
      <c r="K12" s="301">
        <f>'4.sz.m.ÖNK kiadás'!K13</f>
        <v>8789118</v>
      </c>
      <c r="L12" s="776">
        <f t="shared" si="3"/>
        <v>0.8567790550601585</v>
      </c>
      <c r="M12" s="369">
        <f t="shared" si="4"/>
        <v>0</v>
      </c>
      <c r="N12" s="301">
        <f t="shared" si="4"/>
        <v>0</v>
      </c>
      <c r="O12" s="301">
        <f t="shared" si="4"/>
        <v>0</v>
      </c>
      <c r="P12" s="301">
        <f t="shared" si="4"/>
        <v>0</v>
      </c>
      <c r="Q12" s="301">
        <f t="shared" si="4"/>
        <v>0</v>
      </c>
      <c r="R12" s="301">
        <f t="shared" si="4"/>
        <v>0</v>
      </c>
      <c r="S12" s="301">
        <f t="shared" si="4"/>
        <v>0</v>
      </c>
      <c r="T12" s="776"/>
      <c r="U12" s="369">
        <f>'4.sz.m.ÖNK kiadás'!U13</f>
        <v>10018325</v>
      </c>
      <c r="V12" s="301">
        <f>'4.sz.m.ÖNK kiadás'!V13</f>
        <v>10018325</v>
      </c>
      <c r="W12" s="301">
        <f>'4.sz.m.ÖNK kiadás'!W13</f>
        <v>10028325</v>
      </c>
      <c r="X12" s="301">
        <f>'4.sz.m.ÖNK kiadás'!X13</f>
        <v>10258325</v>
      </c>
      <c r="Y12" s="301">
        <f>'4.sz.m.ÖNK kiadás'!Y13</f>
        <v>10258325</v>
      </c>
      <c r="Z12" s="301">
        <f>'4.sz.m.ÖNK kiadás'!Z13</f>
        <v>10258325</v>
      </c>
      <c r="AA12" s="301">
        <f>'4.sz.m.ÖNK kiadás'!AA13</f>
        <v>8789118</v>
      </c>
      <c r="AB12" s="776">
        <f t="shared" si="6"/>
        <v>0.8567790550601585</v>
      </c>
      <c r="AC12" s="369">
        <v>0</v>
      </c>
      <c r="AD12" s="301"/>
      <c r="AE12" s="301"/>
      <c r="AF12" s="301"/>
      <c r="AG12" s="301"/>
      <c r="AH12" s="301"/>
      <c r="AI12" s="301"/>
      <c r="AJ12" s="776"/>
    </row>
    <row r="13" spans="1:36" s="5" customFormat="1" ht="54.75" customHeight="1" thickBot="1">
      <c r="A13" s="124"/>
      <c r="B13" s="125"/>
      <c r="C13" s="105" t="s">
        <v>89</v>
      </c>
      <c r="D13" s="360" t="s">
        <v>293</v>
      </c>
      <c r="E13" s="369">
        <f>'4.sz.m.ÖNK kiadás'!E14</f>
        <v>133281995</v>
      </c>
      <c r="F13" s="301">
        <f>'4.sz.m.ÖNK kiadás'!F14</f>
        <v>133281995</v>
      </c>
      <c r="G13" s="301">
        <f>'4.sz.m.ÖNK kiadás'!G14</f>
        <v>133281995</v>
      </c>
      <c r="H13" s="301">
        <f>'4.sz.m.ÖNK kiadás'!H14</f>
        <v>133281995</v>
      </c>
      <c r="I13" s="301">
        <f>'4.sz.m.ÖNK kiadás'!I14</f>
        <v>129670995</v>
      </c>
      <c r="J13" s="301">
        <f>'4.sz.m.ÖNK kiadás'!J14</f>
        <v>130665592</v>
      </c>
      <c r="K13" s="301">
        <f>'4.sz.m.ÖNK kiadás'!K14</f>
        <v>130665592</v>
      </c>
      <c r="L13" s="776">
        <f t="shared" si="3"/>
        <v>1</v>
      </c>
      <c r="M13" s="369">
        <f t="shared" si="4"/>
        <v>132244251</v>
      </c>
      <c r="N13" s="301">
        <f t="shared" si="4"/>
        <v>132244251</v>
      </c>
      <c r="O13" s="301">
        <f t="shared" si="4"/>
        <v>132244251</v>
      </c>
      <c r="P13" s="301">
        <f t="shared" si="4"/>
        <v>132244251</v>
      </c>
      <c r="Q13" s="301">
        <f t="shared" si="4"/>
        <v>128633251</v>
      </c>
      <c r="R13" s="301">
        <f t="shared" si="4"/>
        <v>129865308</v>
      </c>
      <c r="S13" s="301">
        <f t="shared" si="4"/>
        <v>129865308</v>
      </c>
      <c r="T13" s="776">
        <f t="shared" si="5"/>
        <v>1</v>
      </c>
      <c r="U13" s="369">
        <f>'4.sz.m.ÖNK kiadás'!U14</f>
        <v>1037744</v>
      </c>
      <c r="V13" s="301">
        <f>'4.sz.m.ÖNK kiadás'!V14</f>
        <v>1037744</v>
      </c>
      <c r="W13" s="301">
        <f>'4.sz.m.ÖNK kiadás'!W14</f>
        <v>1037744</v>
      </c>
      <c r="X13" s="301">
        <f>'4.sz.m.ÖNK kiadás'!X14</f>
        <v>1037744</v>
      </c>
      <c r="Y13" s="301">
        <f>'4.sz.m.ÖNK kiadás'!Y14</f>
        <v>1037744</v>
      </c>
      <c r="Z13" s="301">
        <f>'4.sz.m.ÖNK kiadás'!Z14</f>
        <v>800284</v>
      </c>
      <c r="AA13" s="301">
        <f>'4.sz.m.ÖNK kiadás'!AA14</f>
        <v>800284</v>
      </c>
      <c r="AB13" s="776">
        <f t="shared" si="6"/>
        <v>1</v>
      </c>
      <c r="AC13" s="369">
        <v>0</v>
      </c>
      <c r="AD13" s="301"/>
      <c r="AE13" s="301"/>
      <c r="AF13" s="301"/>
      <c r="AG13" s="301"/>
      <c r="AH13" s="301"/>
      <c r="AI13" s="301"/>
      <c r="AJ13" s="776"/>
    </row>
    <row r="14" spans="1:36" s="5" customFormat="1" ht="33" customHeight="1" hidden="1">
      <c r="A14" s="96"/>
      <c r="B14" s="105"/>
      <c r="C14" s="105" t="s">
        <v>92</v>
      </c>
      <c r="D14" s="360" t="s">
        <v>94</v>
      </c>
      <c r="E14" s="369"/>
      <c r="F14" s="301"/>
      <c r="G14" s="301"/>
      <c r="H14" s="301"/>
      <c r="I14" s="301"/>
      <c r="J14" s="301"/>
      <c r="K14" s="301"/>
      <c r="L14" s="776" t="e">
        <f t="shared" si="3"/>
        <v>#DIV/0!</v>
      </c>
      <c r="M14" s="369"/>
      <c r="N14" s="301"/>
      <c r="O14" s="301"/>
      <c r="P14" s="301"/>
      <c r="Q14" s="301"/>
      <c r="R14" s="301"/>
      <c r="S14" s="301"/>
      <c r="T14" s="776" t="e">
        <f t="shared" si="5"/>
        <v>#DIV/0!</v>
      </c>
      <c r="U14" s="369">
        <f>'4.sz.m.ÖNK kiadás'!U15</f>
        <v>0</v>
      </c>
      <c r="V14" s="301">
        <f>'4.sz.m.ÖNK kiadás'!V15</f>
        <v>0</v>
      </c>
      <c r="W14" s="301">
        <f>'4.sz.m.ÖNK kiadás'!W15</f>
        <v>0</v>
      </c>
      <c r="X14" s="301">
        <f>'4.sz.m.ÖNK kiadás'!X15</f>
        <v>0</v>
      </c>
      <c r="Y14" s="301">
        <f>'4.sz.m.ÖNK kiadás'!Y15</f>
        <v>0</v>
      </c>
      <c r="Z14" s="301">
        <f>'4.sz.m.ÖNK kiadás'!Z15</f>
        <v>0</v>
      </c>
      <c r="AA14" s="301">
        <f>'4.sz.m.ÖNK kiadás'!AA15</f>
        <v>0</v>
      </c>
      <c r="AB14" s="776" t="e">
        <f t="shared" si="6"/>
        <v>#DIV/0!</v>
      </c>
      <c r="AC14" s="369"/>
      <c r="AD14" s="301"/>
      <c r="AE14" s="301"/>
      <c r="AF14" s="301"/>
      <c r="AG14" s="301"/>
      <c r="AH14" s="301"/>
      <c r="AI14" s="301"/>
      <c r="AJ14" s="776"/>
    </row>
    <row r="15" spans="1:36" s="5" customFormat="1" ht="33" customHeight="1" hidden="1" thickBot="1">
      <c r="A15" s="132"/>
      <c r="B15" s="119"/>
      <c r="C15" s="119" t="s">
        <v>93</v>
      </c>
      <c r="D15" s="363" t="s">
        <v>95</v>
      </c>
      <c r="E15" s="369"/>
      <c r="F15" s="301"/>
      <c r="G15" s="301"/>
      <c r="H15" s="301"/>
      <c r="I15" s="301"/>
      <c r="J15" s="301"/>
      <c r="K15" s="301"/>
      <c r="L15" s="776" t="e">
        <f t="shared" si="3"/>
        <v>#DIV/0!</v>
      </c>
      <c r="M15" s="369"/>
      <c r="N15" s="301"/>
      <c r="O15" s="301"/>
      <c r="P15" s="301"/>
      <c r="Q15" s="301"/>
      <c r="R15" s="301"/>
      <c r="S15" s="301"/>
      <c r="T15" s="776" t="e">
        <f t="shared" si="5"/>
        <v>#DIV/0!</v>
      </c>
      <c r="U15" s="369">
        <f>'4.sz.m.ÖNK kiadás'!U16</f>
        <v>0</v>
      </c>
      <c r="V15" s="301">
        <f>'4.sz.m.ÖNK kiadás'!V16</f>
        <v>0</v>
      </c>
      <c r="W15" s="301">
        <f>'4.sz.m.ÖNK kiadás'!W16</f>
        <v>0</v>
      </c>
      <c r="X15" s="301">
        <f>'4.sz.m.ÖNK kiadás'!X16</f>
        <v>0</v>
      </c>
      <c r="Y15" s="301">
        <f>'4.sz.m.ÖNK kiadás'!Y16</f>
        <v>0</v>
      </c>
      <c r="Z15" s="301">
        <f>'4.sz.m.ÖNK kiadás'!Z16</f>
        <v>0</v>
      </c>
      <c r="AA15" s="301">
        <f>'4.sz.m.ÖNK kiadás'!AA16</f>
        <v>0</v>
      </c>
      <c r="AB15" s="776" t="e">
        <f t="shared" si="6"/>
        <v>#DIV/0!</v>
      </c>
      <c r="AC15" s="369"/>
      <c r="AD15" s="301"/>
      <c r="AE15" s="301"/>
      <c r="AF15" s="301"/>
      <c r="AG15" s="301"/>
      <c r="AH15" s="301"/>
      <c r="AI15" s="301"/>
      <c r="AJ15" s="776"/>
    </row>
    <row r="16" spans="1:36" s="5" customFormat="1" ht="33" customHeight="1" thickBot="1">
      <c r="A16" s="114" t="s">
        <v>30</v>
      </c>
      <c r="B16" s="1329" t="s">
        <v>96</v>
      </c>
      <c r="C16" s="1329"/>
      <c r="D16" s="1329"/>
      <c r="E16" s="370">
        <f aca="true" t="shared" si="8" ref="E16:K16">SUM(E17:E19)</f>
        <v>36406000</v>
      </c>
      <c r="F16" s="78">
        <f t="shared" si="8"/>
        <v>36406000</v>
      </c>
      <c r="G16" s="78">
        <f t="shared" si="8"/>
        <v>35086401</v>
      </c>
      <c r="H16" s="78">
        <f t="shared" si="8"/>
        <v>86398233</v>
      </c>
      <c r="I16" s="78">
        <f t="shared" si="8"/>
        <v>87096421</v>
      </c>
      <c r="J16" s="78">
        <f t="shared" si="8"/>
        <v>90671628</v>
      </c>
      <c r="K16" s="78">
        <f t="shared" si="8"/>
        <v>80411012</v>
      </c>
      <c r="L16" s="774">
        <f t="shared" si="3"/>
        <v>0.8868376334877323</v>
      </c>
      <c r="M16" s="370">
        <f aca="true" t="shared" si="9" ref="M16:S16">SUM(M17:M19)</f>
        <v>31406000</v>
      </c>
      <c r="N16" s="78">
        <f t="shared" si="9"/>
        <v>31406000</v>
      </c>
      <c r="O16" s="78">
        <f t="shared" si="9"/>
        <v>30086401</v>
      </c>
      <c r="P16" s="78">
        <f t="shared" si="9"/>
        <v>79898233</v>
      </c>
      <c r="Q16" s="78">
        <f t="shared" si="9"/>
        <v>80596421</v>
      </c>
      <c r="R16" s="78">
        <f t="shared" si="9"/>
        <v>83721628</v>
      </c>
      <c r="S16" s="78">
        <f t="shared" si="9"/>
        <v>73461012</v>
      </c>
      <c r="T16" s="774">
        <f t="shared" si="5"/>
        <v>0.8774436636611987</v>
      </c>
      <c r="U16" s="370">
        <f aca="true" t="shared" si="10" ref="U16:Z16">SUM(U17:U19)</f>
        <v>5000000</v>
      </c>
      <c r="V16" s="78">
        <f t="shared" si="10"/>
        <v>5000000</v>
      </c>
      <c r="W16" s="78">
        <f t="shared" si="10"/>
        <v>5000000</v>
      </c>
      <c r="X16" s="78">
        <f t="shared" si="10"/>
        <v>6500000</v>
      </c>
      <c r="Y16" s="78">
        <f t="shared" si="10"/>
        <v>6500000</v>
      </c>
      <c r="Z16" s="78">
        <f t="shared" si="10"/>
        <v>6950000</v>
      </c>
      <c r="AA16" s="78">
        <f>SUM(AA17:AA19)</f>
        <v>6950000</v>
      </c>
      <c r="AB16" s="774">
        <f t="shared" si="6"/>
        <v>1</v>
      </c>
      <c r="AC16" s="370">
        <f aca="true" t="shared" si="11" ref="AC16:AH16">SUM(AC17:AC19)</f>
        <v>0</v>
      </c>
      <c r="AD16" s="78">
        <f t="shared" si="11"/>
        <v>0</v>
      </c>
      <c r="AE16" s="78">
        <f t="shared" si="11"/>
        <v>0</v>
      </c>
      <c r="AF16" s="78">
        <f t="shared" si="11"/>
        <v>0</v>
      </c>
      <c r="AG16" s="78">
        <f t="shared" si="11"/>
        <v>0</v>
      </c>
      <c r="AH16" s="78">
        <f t="shared" si="11"/>
        <v>0</v>
      </c>
      <c r="AI16" s="78">
        <f>SUM(AI17:AI19)</f>
        <v>0</v>
      </c>
      <c r="AJ16" s="774"/>
    </row>
    <row r="17" spans="1:36" s="5" customFormat="1" ht="33" customHeight="1">
      <c r="A17" s="113"/>
      <c r="B17" s="118" t="s">
        <v>41</v>
      </c>
      <c r="C17" s="1336" t="s">
        <v>97</v>
      </c>
      <c r="D17" s="1336"/>
      <c r="E17" s="369">
        <f>'4.sz.m.ÖNK kiadás'!E18+'5.1 sz. m Köz Hiv'!D41+'5.2 sz. m ÁMK'!D44+'üres lap'!D33</f>
        <v>2406000</v>
      </c>
      <c r="F17" s="301">
        <f>'4.sz.m.ÖNK kiadás'!F18+'5.1 sz. m Köz Hiv'!E41+'5.2 sz. m ÁMK'!E44+'üres lap'!E33</f>
        <v>2406000</v>
      </c>
      <c r="G17" s="301">
        <f>'4.sz.m.ÖNK kiadás'!G18+'5.1 sz. m Köz Hiv'!F41+'5.2 sz. m ÁMK'!F44+'üres lap'!F33</f>
        <v>4682220</v>
      </c>
      <c r="H17" s="301">
        <f>'4.sz.m.ÖNK kiadás'!H18+'5.1 sz. m Köz Hiv'!G41+'5.2 sz. m ÁMK'!G44+'üres lap'!G33</f>
        <v>7651650</v>
      </c>
      <c r="I17" s="301">
        <f>'4.sz.m.ÖNK kiadás'!I18+'5.1 sz. m Köz Hiv'!H41+'5.2 sz. m ÁMK'!H44+'üres lap'!H33</f>
        <v>8002170</v>
      </c>
      <c r="J17" s="301">
        <f>'4.sz.m.ÖNK kiadás'!J18+'5.1 sz. m Köz Hiv'!I41+'5.2 sz. m ÁMK'!I44+'üres lap'!I33</f>
        <v>11136002</v>
      </c>
      <c r="K17" s="301">
        <f>'4.sz.m.ÖNK kiadás'!K18+'5.1 sz. m Köz Hiv'!J41+'5.2 sz. m ÁMK'!J44+'üres lap'!J33</f>
        <v>11136002</v>
      </c>
      <c r="L17" s="776">
        <f t="shared" si="3"/>
        <v>1</v>
      </c>
      <c r="M17" s="369">
        <f>'4.sz.m.ÖNK kiadás'!M18+'5.1 sz. m Köz Hiv'!L41+'5.2 sz. m ÁMK'!L44</f>
        <v>2406000</v>
      </c>
      <c r="N17" s="301">
        <f>'4.sz.m.ÖNK kiadás'!N18+'5.1 sz. m Köz Hiv'!M41+'5.2 sz. m ÁMK'!M44</f>
        <v>2406000</v>
      </c>
      <c r="O17" s="301">
        <f>'4.sz.m.ÖNK kiadás'!O18+'5.1 sz. m Köz Hiv'!N41+'5.2 sz. m ÁMK'!N44+'üres lap'!L33</f>
        <v>4682220</v>
      </c>
      <c r="P17" s="301">
        <f>'4.sz.m.ÖNK kiadás'!P18+'5.1 sz. m Köz Hiv'!O41+'5.2 sz. m ÁMK'!O44+'üres lap'!M33</f>
        <v>7651650</v>
      </c>
      <c r="Q17" s="301">
        <f>'4.sz.m.ÖNK kiadás'!Q18+'5.1 sz. m Köz Hiv'!P41+'5.2 sz. m ÁMK'!P44+'üres lap'!N33</f>
        <v>8002170</v>
      </c>
      <c r="R17" s="301">
        <f>'4.sz.m.ÖNK kiadás'!R18+'5.1 sz. m Köz Hiv'!Q41+'5.2 sz. m ÁMK'!Q44+'üres lap'!O33</f>
        <v>11136002</v>
      </c>
      <c r="S17" s="301">
        <f>'4.sz.m.ÖNK kiadás'!S18+'5.1 sz. m Köz Hiv'!R41+'5.2 sz. m ÁMK'!R44+'üres lap'!P33</f>
        <v>11136002</v>
      </c>
      <c r="T17" s="776">
        <f t="shared" si="5"/>
        <v>1</v>
      </c>
      <c r="U17" s="369">
        <f>'4.sz.m.ÖNK kiadás'!U18</f>
        <v>0</v>
      </c>
      <c r="V17" s="301">
        <f>'4.sz.m.ÖNK kiadás'!V18</f>
        <v>0</v>
      </c>
      <c r="W17" s="301">
        <f>'4.sz.m.ÖNK kiadás'!W18</f>
        <v>0</v>
      </c>
      <c r="X17" s="301">
        <f>'4.sz.m.ÖNK kiadás'!X18</f>
        <v>0</v>
      </c>
      <c r="Y17" s="301">
        <f>'4.sz.m.ÖNK kiadás'!Y18</f>
        <v>0</v>
      </c>
      <c r="Z17" s="301">
        <f>'4.sz.m.ÖNK kiadás'!Z18</f>
        <v>0</v>
      </c>
      <c r="AA17" s="301">
        <f>'4.sz.m.ÖNK kiadás'!AA18</f>
        <v>0</v>
      </c>
      <c r="AB17" s="776"/>
      <c r="AC17" s="369">
        <v>0</v>
      </c>
      <c r="AD17" s="301"/>
      <c r="AE17" s="301"/>
      <c r="AF17" s="301"/>
      <c r="AG17" s="301"/>
      <c r="AH17" s="301"/>
      <c r="AI17" s="301"/>
      <c r="AJ17" s="776"/>
    </row>
    <row r="18" spans="1:36" s="5" customFormat="1" ht="33" customHeight="1">
      <c r="A18" s="96"/>
      <c r="B18" s="105" t="s">
        <v>42</v>
      </c>
      <c r="C18" s="1327" t="s">
        <v>98</v>
      </c>
      <c r="D18" s="1327"/>
      <c r="E18" s="369">
        <f>'4.sz.m.ÖNK kiadás'!E19</f>
        <v>29000000</v>
      </c>
      <c r="F18" s="301">
        <f>'4.sz.m.ÖNK kiadás'!F19+'5.2 sz. m ÁMK'!E46</f>
        <v>29000000</v>
      </c>
      <c r="G18" s="301">
        <f>'4.sz.m.ÖNK kiadás'!G19+'5.2 sz. m ÁMK'!F46</f>
        <v>25404181</v>
      </c>
      <c r="H18" s="301">
        <f>'4.sz.m.ÖNK kiadás'!H19+'5.2 sz. m ÁMK'!G46</f>
        <v>27387324</v>
      </c>
      <c r="I18" s="301">
        <f>'4.sz.m.ÖNK kiadás'!I19+'5.2 sz. m ÁMK'!H46</f>
        <v>27734992</v>
      </c>
      <c r="J18" s="301">
        <f>'4.sz.m.ÖNK kiadás'!J19+'5.2 sz. m ÁMK'!I46</f>
        <v>27734992</v>
      </c>
      <c r="K18" s="301">
        <f>'4.sz.m.ÖNK kiadás'!K19+'5.2 sz. m ÁMK'!J46</f>
        <v>17474376</v>
      </c>
      <c r="L18" s="776">
        <f t="shared" si="3"/>
        <v>0.6300479913605167</v>
      </c>
      <c r="M18" s="369">
        <f>'4.sz.m.ÖNK kiadás'!M19+'5.1 sz. m Köz Hiv'!L42+'5.2 sz. m ÁMK'!L45</f>
        <v>29000000</v>
      </c>
      <c r="N18" s="301">
        <f>'4.sz.m.ÖNK kiadás'!N19+'5.1 sz. m Köz Hiv'!M42+'5.2 sz. m ÁMK'!M45</f>
        <v>29000000</v>
      </c>
      <c r="O18" s="301">
        <f>'4.sz.m.ÖNK kiadás'!O19+'5.2 sz. m ÁMK'!N46</f>
        <v>25404181</v>
      </c>
      <c r="P18" s="301">
        <f>'4.sz.m.ÖNK kiadás'!P19+'5.2 sz. m ÁMK'!O46</f>
        <v>27387324</v>
      </c>
      <c r="Q18" s="301">
        <f>'4.sz.m.ÖNK kiadás'!Q19+'5.2 sz. m ÁMK'!P46</f>
        <v>27734992</v>
      </c>
      <c r="R18" s="301">
        <f>'4.sz.m.ÖNK kiadás'!R19+'5.2 sz. m ÁMK'!Q46</f>
        <v>27734992</v>
      </c>
      <c r="S18" s="301">
        <f>'4.sz.m.ÖNK kiadás'!S19+'5.2 sz. m ÁMK'!R46</f>
        <v>17474376</v>
      </c>
      <c r="T18" s="776">
        <f t="shared" si="5"/>
        <v>0.6300479913605167</v>
      </c>
      <c r="U18" s="369">
        <f>'4.sz.m.ÖNK kiadás'!U19</f>
        <v>0</v>
      </c>
      <c r="V18" s="301">
        <f>'4.sz.m.ÖNK kiadás'!V19</f>
        <v>0</v>
      </c>
      <c r="W18" s="301">
        <f>'4.sz.m.ÖNK kiadás'!W19</f>
        <v>0</v>
      </c>
      <c r="X18" s="301">
        <f>'4.sz.m.ÖNK kiadás'!X19</f>
        <v>0</v>
      </c>
      <c r="Y18" s="301">
        <f>'4.sz.m.ÖNK kiadás'!Y19</f>
        <v>0</v>
      </c>
      <c r="Z18" s="301">
        <f>'4.sz.m.ÖNK kiadás'!Z19</f>
        <v>0</v>
      </c>
      <c r="AA18" s="301">
        <f>'4.sz.m.ÖNK kiadás'!AA19</f>
        <v>0</v>
      </c>
      <c r="AB18" s="776"/>
      <c r="AC18" s="369">
        <v>0</v>
      </c>
      <c r="AD18" s="301"/>
      <c r="AE18" s="301"/>
      <c r="AF18" s="301"/>
      <c r="AG18" s="301"/>
      <c r="AH18" s="301"/>
      <c r="AI18" s="301"/>
      <c r="AJ18" s="776"/>
    </row>
    <row r="19" spans="1:36" s="5" customFormat="1" ht="33" customHeight="1">
      <c r="A19" s="126"/>
      <c r="B19" s="105" t="s">
        <v>43</v>
      </c>
      <c r="C19" s="1340" t="s">
        <v>99</v>
      </c>
      <c r="D19" s="1340"/>
      <c r="E19" s="369">
        <f>'4.sz.m.ÖNK kiadás'!E20</f>
        <v>5000000</v>
      </c>
      <c r="F19" s="301">
        <f>'4.sz.m.ÖNK kiadás'!F20</f>
        <v>5000000</v>
      </c>
      <c r="G19" s="301">
        <f>'4.sz.m.ÖNK kiadás'!G20</f>
        <v>5000000</v>
      </c>
      <c r="H19" s="301">
        <f>'4.sz.m.ÖNK kiadás'!H20</f>
        <v>51359259</v>
      </c>
      <c r="I19" s="301">
        <f>'4.sz.m.ÖNK kiadás'!I20</f>
        <v>51359259</v>
      </c>
      <c r="J19" s="301">
        <f>'4.sz.m.ÖNK kiadás'!J20</f>
        <v>51800634</v>
      </c>
      <c r="K19" s="301">
        <f>'4.sz.m.ÖNK kiadás'!K20</f>
        <v>51800634</v>
      </c>
      <c r="L19" s="776">
        <f t="shared" si="3"/>
        <v>1</v>
      </c>
      <c r="M19" s="369">
        <f>'4.sz.m.ÖNK kiadás'!M20</f>
        <v>0</v>
      </c>
      <c r="N19" s="301">
        <f>'4.sz.m.ÖNK kiadás'!N20</f>
        <v>0</v>
      </c>
      <c r="O19" s="301">
        <f>'4.sz.m.ÖNK kiadás'!O20</f>
        <v>0</v>
      </c>
      <c r="P19" s="301">
        <f>'4.sz.m.ÖNK kiadás'!P20</f>
        <v>44859259</v>
      </c>
      <c r="Q19" s="301">
        <f>'4.sz.m.ÖNK kiadás'!Q20</f>
        <v>44859259</v>
      </c>
      <c r="R19" s="301">
        <f>'4.sz.m.ÖNK kiadás'!R20</f>
        <v>44850634</v>
      </c>
      <c r="S19" s="301">
        <f>'4.sz.m.ÖNK kiadás'!S20</f>
        <v>44850634</v>
      </c>
      <c r="T19" s="776">
        <f t="shared" si="5"/>
        <v>1</v>
      </c>
      <c r="U19" s="369">
        <f>'4.sz.m.ÖNK kiadás'!U20</f>
        <v>5000000</v>
      </c>
      <c r="V19" s="301">
        <f>'4.sz.m.ÖNK kiadás'!V20</f>
        <v>5000000</v>
      </c>
      <c r="W19" s="301">
        <f>'4.sz.m.ÖNK kiadás'!W20</f>
        <v>5000000</v>
      </c>
      <c r="X19" s="301">
        <f>'4.sz.m.ÖNK kiadás'!X20</f>
        <v>6500000</v>
      </c>
      <c r="Y19" s="301">
        <f>'4.sz.m.ÖNK kiadás'!Y20</f>
        <v>6500000</v>
      </c>
      <c r="Z19" s="301">
        <f>'4.sz.m.ÖNK kiadás'!Z20</f>
        <v>6950000</v>
      </c>
      <c r="AA19" s="301">
        <f>'4.sz.m.ÖNK kiadás'!AA20</f>
        <v>6950000</v>
      </c>
      <c r="AB19" s="776">
        <f t="shared" si="6"/>
        <v>1</v>
      </c>
      <c r="AC19" s="369">
        <v>0</v>
      </c>
      <c r="AD19" s="301"/>
      <c r="AE19" s="301"/>
      <c r="AF19" s="301"/>
      <c r="AG19" s="301"/>
      <c r="AH19" s="301"/>
      <c r="AI19" s="301"/>
      <c r="AJ19" s="776"/>
    </row>
    <row r="20" spans="1:36" s="5" customFormat="1" ht="33" customHeight="1">
      <c r="A20" s="102"/>
      <c r="B20" s="106"/>
      <c r="C20" s="106" t="s">
        <v>100</v>
      </c>
      <c r="D20" s="256" t="s">
        <v>90</v>
      </c>
      <c r="E20" s="369">
        <f>'4.sz.m.ÖNK kiadás'!E21</f>
        <v>5000000</v>
      </c>
      <c r="F20" s="301">
        <f>'4.sz.m.ÖNK kiadás'!F21</f>
        <v>5000000</v>
      </c>
      <c r="G20" s="301">
        <f>'4.sz.m.ÖNK kiadás'!G21</f>
        <v>5000000</v>
      </c>
      <c r="H20" s="301">
        <f>'4.sz.m.ÖNK kiadás'!H21</f>
        <v>5000000</v>
      </c>
      <c r="I20" s="301">
        <f>'4.sz.m.ÖNK kiadás'!I21</f>
        <v>5000000</v>
      </c>
      <c r="J20" s="301">
        <f>'4.sz.m.ÖNK kiadás'!J21</f>
        <v>5450000</v>
      </c>
      <c r="K20" s="301">
        <f>'4.sz.m.ÖNK kiadás'!K21</f>
        <v>5450000</v>
      </c>
      <c r="L20" s="776">
        <f t="shared" si="3"/>
        <v>1</v>
      </c>
      <c r="M20" s="369">
        <f>'4.sz.m.ÖNK kiadás'!M21</f>
        <v>0</v>
      </c>
      <c r="N20" s="301">
        <f>'4.sz.m.ÖNK kiadás'!N21</f>
        <v>0</v>
      </c>
      <c r="O20" s="301">
        <f>'4.sz.m.ÖNK kiadás'!O21</f>
        <v>0</v>
      </c>
      <c r="P20" s="301">
        <f>'4.sz.m.ÖNK kiadás'!P21</f>
        <v>0</v>
      </c>
      <c r="Q20" s="301">
        <f>'4.sz.m.ÖNK kiadás'!Q21</f>
        <v>0</v>
      </c>
      <c r="R20" s="301">
        <f>'4.sz.m.ÖNK kiadás'!R21</f>
        <v>0</v>
      </c>
      <c r="S20" s="301">
        <f>'4.sz.m.ÖNK kiadás'!S21</f>
        <v>0</v>
      </c>
      <c r="T20" s="776"/>
      <c r="U20" s="369">
        <f>'4.sz.m.ÖNK kiadás'!U21</f>
        <v>5000000</v>
      </c>
      <c r="V20" s="301">
        <f>'4.sz.m.ÖNK kiadás'!V21</f>
        <v>5000000</v>
      </c>
      <c r="W20" s="301">
        <f>'4.sz.m.ÖNK kiadás'!W21</f>
        <v>5000000</v>
      </c>
      <c r="X20" s="301">
        <f>'4.sz.m.ÖNK kiadás'!X21</f>
        <v>5000000</v>
      </c>
      <c r="Y20" s="301">
        <f>'4.sz.m.ÖNK kiadás'!Y21</f>
        <v>5000000</v>
      </c>
      <c r="Z20" s="301">
        <f>'4.sz.m.ÖNK kiadás'!Z21</f>
        <v>5450000</v>
      </c>
      <c r="AA20" s="301">
        <f>'4.sz.m.ÖNK kiadás'!AA21</f>
        <v>5450000</v>
      </c>
      <c r="AB20" s="776">
        <f t="shared" si="6"/>
        <v>1</v>
      </c>
      <c r="AC20" s="369">
        <v>0</v>
      </c>
      <c r="AD20" s="301"/>
      <c r="AE20" s="301"/>
      <c r="AF20" s="301"/>
      <c r="AG20" s="301"/>
      <c r="AH20" s="301"/>
      <c r="AI20" s="301"/>
      <c r="AJ20" s="776"/>
    </row>
    <row r="21" spans="1:36" s="5" customFormat="1" ht="33" customHeight="1">
      <c r="A21" s="102"/>
      <c r="B21" s="106"/>
      <c r="C21" s="106" t="s">
        <v>101</v>
      </c>
      <c r="D21" s="256" t="s">
        <v>91</v>
      </c>
      <c r="E21" s="369">
        <f>'4.sz.m.ÖNK kiadás'!E22</f>
        <v>0</v>
      </c>
      <c r="F21" s="301">
        <f>'4.sz.m.ÖNK kiadás'!F22</f>
        <v>0</v>
      </c>
      <c r="G21" s="301">
        <f>'4.sz.m.ÖNK kiadás'!G22</f>
        <v>0</v>
      </c>
      <c r="H21" s="301">
        <f>'4.sz.m.ÖNK kiadás'!H22</f>
        <v>44859259</v>
      </c>
      <c r="I21" s="301">
        <f>'4.sz.m.ÖNK kiadás'!I22</f>
        <v>44859259</v>
      </c>
      <c r="J21" s="301">
        <f>'4.sz.m.ÖNK kiadás'!J22</f>
        <v>44850634</v>
      </c>
      <c r="K21" s="301">
        <f>'4.sz.m.ÖNK kiadás'!K22</f>
        <v>44850634</v>
      </c>
      <c r="L21" s="776">
        <f t="shared" si="3"/>
        <v>1</v>
      </c>
      <c r="M21" s="369">
        <f>'4.sz.m.ÖNK kiadás'!M22</f>
        <v>0</v>
      </c>
      <c r="N21" s="301">
        <f>'4.sz.m.ÖNK kiadás'!N22</f>
        <v>0</v>
      </c>
      <c r="O21" s="301">
        <f>'4.sz.m.ÖNK kiadás'!O22</f>
        <v>0</v>
      </c>
      <c r="P21" s="301">
        <f>'4.sz.m.ÖNK kiadás'!P22</f>
        <v>44859259</v>
      </c>
      <c r="Q21" s="301">
        <f>'4.sz.m.ÖNK kiadás'!Q22</f>
        <v>44859259</v>
      </c>
      <c r="R21" s="301">
        <f>'4.sz.m.ÖNK kiadás'!R22</f>
        <v>44850634</v>
      </c>
      <c r="S21" s="301">
        <f>'4.sz.m.ÖNK kiadás'!S22</f>
        <v>44850634</v>
      </c>
      <c r="T21" s="776">
        <f t="shared" si="5"/>
        <v>1</v>
      </c>
      <c r="U21" s="369">
        <v>0</v>
      </c>
      <c r="V21" s="301"/>
      <c r="W21" s="301"/>
      <c r="X21" s="301"/>
      <c r="Y21" s="301"/>
      <c r="Z21" s="301"/>
      <c r="AA21" s="301"/>
      <c r="AB21" s="776"/>
      <c r="AC21" s="369">
        <v>0</v>
      </c>
      <c r="AD21" s="301"/>
      <c r="AE21" s="301"/>
      <c r="AF21" s="301"/>
      <c r="AG21" s="301"/>
      <c r="AH21" s="301"/>
      <c r="AI21" s="301"/>
      <c r="AJ21" s="776"/>
    </row>
    <row r="22" spans="1:36" s="5" customFormat="1" ht="33" customHeight="1">
      <c r="A22" s="126"/>
      <c r="B22" s="256"/>
      <c r="C22" s="106" t="s">
        <v>102</v>
      </c>
      <c r="D22" s="256" t="s">
        <v>566</v>
      </c>
      <c r="E22" s="369">
        <f>'4.sz.m.ÖNK kiadás'!E23</f>
        <v>0</v>
      </c>
      <c r="F22" s="301">
        <f>'4.sz.m.ÖNK kiadás'!F23</f>
        <v>0</v>
      </c>
      <c r="G22" s="301">
        <f>'4.sz.m.ÖNK kiadás'!G23</f>
        <v>0</v>
      </c>
      <c r="H22" s="301">
        <f>'4.sz.m.ÖNK kiadás'!H23</f>
        <v>1500000</v>
      </c>
      <c r="I22" s="301">
        <f>'4.sz.m.ÖNK kiadás'!I23</f>
        <v>1500000</v>
      </c>
      <c r="J22" s="301">
        <f>'4.sz.m.ÖNK kiadás'!J23</f>
        <v>1500000</v>
      </c>
      <c r="K22" s="301">
        <f>'4.sz.m.ÖNK kiadás'!K23</f>
        <v>1500000</v>
      </c>
      <c r="L22" s="776">
        <f t="shared" si="3"/>
        <v>1</v>
      </c>
      <c r="M22" s="369">
        <f>'4.sz.m.ÖNK kiadás'!M23</f>
        <v>0</v>
      </c>
      <c r="N22" s="301">
        <f>'4.sz.m.ÖNK kiadás'!N23</f>
        <v>0</v>
      </c>
      <c r="O22" s="301">
        <f>'4.sz.m.ÖNK kiadás'!O23</f>
        <v>0</v>
      </c>
      <c r="P22" s="301">
        <f>'4.sz.m.ÖNK kiadás'!P23</f>
        <v>0</v>
      </c>
      <c r="Q22" s="301">
        <f>'4.sz.m.ÖNK kiadás'!Q23</f>
        <v>0</v>
      </c>
      <c r="R22" s="301">
        <f>'4.sz.m.ÖNK kiadás'!R23</f>
        <v>0</v>
      </c>
      <c r="S22" s="301">
        <f>'4.sz.m.ÖNK kiadás'!S23</f>
        <v>0</v>
      </c>
      <c r="T22" s="776"/>
      <c r="U22" s="369">
        <v>0</v>
      </c>
      <c r="V22" s="301"/>
      <c r="W22" s="301"/>
      <c r="X22" s="301">
        <f>'4.sz.m.ÖNK kiadás'!X23</f>
        <v>1500000</v>
      </c>
      <c r="Y22" s="301">
        <f>'4.sz.m.ÖNK kiadás'!Y23</f>
        <v>1500000</v>
      </c>
      <c r="Z22" s="301">
        <f>'4.sz.m.ÖNK kiadás'!Z23</f>
        <v>1500000</v>
      </c>
      <c r="AA22" s="301">
        <f>'4.sz.m.ÖNK kiadás'!AA23</f>
        <v>1500000</v>
      </c>
      <c r="AB22" s="776">
        <f t="shared" si="6"/>
        <v>1</v>
      </c>
      <c r="AC22" s="369">
        <v>0</v>
      </c>
      <c r="AD22" s="301"/>
      <c r="AE22" s="301"/>
      <c r="AF22" s="301"/>
      <c r="AG22" s="301"/>
      <c r="AH22" s="301"/>
      <c r="AI22" s="301"/>
      <c r="AJ22" s="776"/>
    </row>
    <row r="23" spans="1:36" s="5" customFormat="1" ht="33" customHeight="1" thickBot="1">
      <c r="A23" s="281"/>
      <c r="B23" s="282"/>
      <c r="C23" s="283" t="s">
        <v>215</v>
      </c>
      <c r="D23" s="282" t="s">
        <v>216</v>
      </c>
      <c r="E23" s="369">
        <f>'4.sz.m.ÖNK kiadás'!E24</f>
        <v>0</v>
      </c>
      <c r="F23" s="301">
        <f>'4.sz.m.ÖNK kiadás'!F24</f>
        <v>0</v>
      </c>
      <c r="G23" s="301">
        <f>'4.sz.m.ÖNK kiadás'!G24</f>
        <v>0</v>
      </c>
      <c r="H23" s="301">
        <f>'4.sz.m.ÖNK kiadás'!H24</f>
        <v>0</v>
      </c>
      <c r="I23" s="301">
        <f>'4.sz.m.ÖNK kiadás'!I24</f>
        <v>0</v>
      </c>
      <c r="J23" s="301">
        <f>'4.sz.m.ÖNK kiadás'!J24</f>
        <v>0</v>
      </c>
      <c r="K23" s="301">
        <f>'4.sz.m.ÖNK kiadás'!K24</f>
        <v>0</v>
      </c>
      <c r="L23" s="776"/>
      <c r="M23" s="369">
        <f>'4.sz.m.ÖNK kiadás'!M24</f>
        <v>0</v>
      </c>
      <c r="N23" s="301">
        <f>'4.sz.m.ÖNK kiadás'!N24</f>
        <v>0</v>
      </c>
      <c r="O23" s="301">
        <f>'4.sz.m.ÖNK kiadás'!O24</f>
        <v>0</v>
      </c>
      <c r="P23" s="301">
        <f>'4.sz.m.ÖNK kiadás'!P24</f>
        <v>0</v>
      </c>
      <c r="Q23" s="301">
        <f>'4.sz.m.ÖNK kiadás'!Q24</f>
        <v>0</v>
      </c>
      <c r="R23" s="301">
        <f>'4.sz.m.ÖNK kiadás'!R24</f>
        <v>0</v>
      </c>
      <c r="S23" s="301">
        <f>'4.sz.m.ÖNK kiadás'!S24</f>
        <v>0</v>
      </c>
      <c r="T23" s="776"/>
      <c r="U23" s="369">
        <v>0</v>
      </c>
      <c r="V23" s="301"/>
      <c r="W23" s="301"/>
      <c r="X23" s="301"/>
      <c r="Y23" s="301"/>
      <c r="Z23" s="301"/>
      <c r="AA23" s="301"/>
      <c r="AB23" s="776"/>
      <c r="AC23" s="369">
        <v>0</v>
      </c>
      <c r="AD23" s="301"/>
      <c r="AE23" s="301"/>
      <c r="AF23" s="301"/>
      <c r="AG23" s="301"/>
      <c r="AH23" s="301"/>
      <c r="AI23" s="301"/>
      <c r="AJ23" s="776"/>
    </row>
    <row r="24" spans="1:36" s="5" customFormat="1" ht="33" customHeight="1" thickBot="1">
      <c r="A24" s="114" t="s">
        <v>10</v>
      </c>
      <c r="B24" s="1329" t="s">
        <v>103</v>
      </c>
      <c r="C24" s="1329"/>
      <c r="D24" s="1329"/>
      <c r="E24" s="370">
        <f aca="true" t="shared" si="12" ref="E24:K24">SUM(E25:E27)</f>
        <v>87607657</v>
      </c>
      <c r="F24" s="78">
        <f t="shared" si="12"/>
        <v>58656600</v>
      </c>
      <c r="G24" s="78">
        <f t="shared" si="12"/>
        <v>59503503</v>
      </c>
      <c r="H24" s="78">
        <f t="shared" si="12"/>
        <v>19959710</v>
      </c>
      <c r="I24" s="78">
        <f t="shared" si="12"/>
        <v>19982585</v>
      </c>
      <c r="J24" s="78">
        <f t="shared" si="12"/>
        <v>0</v>
      </c>
      <c r="K24" s="78">
        <f t="shared" si="12"/>
        <v>0</v>
      </c>
      <c r="L24" s="774"/>
      <c r="M24" s="370">
        <f aca="true" t="shared" si="13" ref="M24:S24">SUM(M25:M27)</f>
        <v>87607657</v>
      </c>
      <c r="N24" s="78">
        <f t="shared" si="13"/>
        <v>58656600</v>
      </c>
      <c r="O24" s="78">
        <f t="shared" si="13"/>
        <v>59503503</v>
      </c>
      <c r="P24" s="78">
        <f t="shared" si="13"/>
        <v>19959710</v>
      </c>
      <c r="Q24" s="78">
        <f t="shared" si="13"/>
        <v>19982585</v>
      </c>
      <c r="R24" s="78">
        <f t="shared" si="13"/>
        <v>0</v>
      </c>
      <c r="S24" s="78">
        <f t="shared" si="13"/>
        <v>0</v>
      </c>
      <c r="T24" s="774"/>
      <c r="U24" s="370">
        <f aca="true" t="shared" si="14" ref="U24:AA24">SUM(U25:U27)</f>
        <v>0</v>
      </c>
      <c r="V24" s="78">
        <f t="shared" si="14"/>
        <v>0</v>
      </c>
      <c r="W24" s="78">
        <f t="shared" si="14"/>
        <v>0</v>
      </c>
      <c r="X24" s="78">
        <f t="shared" si="14"/>
        <v>0</v>
      </c>
      <c r="Y24" s="78">
        <f t="shared" si="14"/>
        <v>0</v>
      </c>
      <c r="Z24" s="78">
        <f t="shared" si="14"/>
        <v>0</v>
      </c>
      <c r="AA24" s="78">
        <f t="shared" si="14"/>
        <v>0</v>
      </c>
      <c r="AB24" s="774"/>
      <c r="AC24" s="370">
        <f aca="true" t="shared" si="15" ref="AC24:AI24">SUM(AC25:AC27)</f>
        <v>0</v>
      </c>
      <c r="AD24" s="78">
        <f t="shared" si="15"/>
        <v>0</v>
      </c>
      <c r="AE24" s="78">
        <f t="shared" si="15"/>
        <v>0</v>
      </c>
      <c r="AF24" s="78">
        <f t="shared" si="15"/>
        <v>0</v>
      </c>
      <c r="AG24" s="78">
        <f t="shared" si="15"/>
        <v>0</v>
      </c>
      <c r="AH24" s="78">
        <f t="shared" si="15"/>
        <v>0</v>
      </c>
      <c r="AI24" s="78">
        <f t="shared" si="15"/>
        <v>0</v>
      </c>
      <c r="AJ24" s="774"/>
    </row>
    <row r="25" spans="1:36" s="5" customFormat="1" ht="33" customHeight="1">
      <c r="A25" s="113"/>
      <c r="B25" s="118" t="s">
        <v>44</v>
      </c>
      <c r="C25" s="1336" t="s">
        <v>3</v>
      </c>
      <c r="D25" s="1336"/>
      <c r="E25" s="369">
        <f>'4.sz.m.ÖNK kiadás'!E26</f>
        <v>87607657</v>
      </c>
      <c r="F25" s="301">
        <f>'4.sz.m.ÖNK kiadás'!F26</f>
        <v>58656600</v>
      </c>
      <c r="G25" s="301">
        <f>'4.sz.m.ÖNK kiadás'!G26</f>
        <v>59503503</v>
      </c>
      <c r="H25" s="301">
        <f>'4.sz.m.ÖNK kiadás'!H26</f>
        <v>19959710</v>
      </c>
      <c r="I25" s="301">
        <f>'4.sz.m.ÖNK kiadás'!I26</f>
        <v>19982585</v>
      </c>
      <c r="J25" s="301">
        <f>'4.sz.m.ÖNK kiadás'!J26</f>
        <v>0</v>
      </c>
      <c r="K25" s="301">
        <f>'4.sz.m.ÖNK kiadás'!K26</f>
        <v>0</v>
      </c>
      <c r="L25" s="301"/>
      <c r="M25" s="369">
        <f>'4.sz.m.ÖNK kiadás'!M26</f>
        <v>87607657</v>
      </c>
      <c r="N25" s="301">
        <f>'4.sz.m.ÖNK kiadás'!N26</f>
        <v>58656600</v>
      </c>
      <c r="O25" s="301">
        <f>'4.sz.m.ÖNK kiadás'!O26</f>
        <v>59503503</v>
      </c>
      <c r="P25" s="301">
        <f>'4.sz.m.ÖNK kiadás'!P26</f>
        <v>19959710</v>
      </c>
      <c r="Q25" s="301">
        <f>'4.sz.m.ÖNK kiadás'!Q26</f>
        <v>19982585</v>
      </c>
      <c r="R25" s="301">
        <f>'4.sz.m.ÖNK kiadás'!R26</f>
        <v>0</v>
      </c>
      <c r="S25" s="301">
        <f>'4.sz.m.ÖNK kiadás'!S26</f>
        <v>0</v>
      </c>
      <c r="T25" s="301"/>
      <c r="U25" s="369">
        <v>0</v>
      </c>
      <c r="V25" s="301"/>
      <c r="W25" s="301"/>
      <c r="X25" s="301"/>
      <c r="Y25" s="301"/>
      <c r="Z25" s="301"/>
      <c r="AA25" s="301"/>
      <c r="AB25" s="301"/>
      <c r="AC25" s="369">
        <v>0</v>
      </c>
      <c r="AD25" s="301"/>
      <c r="AE25" s="301"/>
      <c r="AF25" s="301"/>
      <c r="AG25" s="301"/>
      <c r="AH25" s="301"/>
      <c r="AI25" s="301"/>
      <c r="AJ25" s="301"/>
    </row>
    <row r="26" spans="1:36" s="8" customFormat="1" ht="33" customHeight="1">
      <c r="A26" s="127"/>
      <c r="B26" s="105" t="s">
        <v>45</v>
      </c>
      <c r="C26" s="1347" t="s">
        <v>294</v>
      </c>
      <c r="D26" s="1347"/>
      <c r="E26" s="369">
        <v>0</v>
      </c>
      <c r="F26" s="301"/>
      <c r="G26" s="301"/>
      <c r="H26" s="301"/>
      <c r="I26" s="301"/>
      <c r="J26" s="301"/>
      <c r="K26" s="301"/>
      <c r="L26" s="776"/>
      <c r="M26" s="369">
        <v>0</v>
      </c>
      <c r="N26" s="301"/>
      <c r="O26" s="301"/>
      <c r="P26" s="301"/>
      <c r="Q26" s="301"/>
      <c r="R26" s="301"/>
      <c r="S26" s="301"/>
      <c r="T26" s="776"/>
      <c r="U26" s="369">
        <v>0</v>
      </c>
      <c r="V26" s="301"/>
      <c r="W26" s="301"/>
      <c r="X26" s="301"/>
      <c r="Y26" s="301"/>
      <c r="Z26" s="301"/>
      <c r="AA26" s="301"/>
      <c r="AB26" s="776"/>
      <c r="AC26" s="369">
        <v>0</v>
      </c>
      <c r="AD26" s="301"/>
      <c r="AE26" s="301"/>
      <c r="AF26" s="301"/>
      <c r="AG26" s="301"/>
      <c r="AH26" s="301"/>
      <c r="AI26" s="301"/>
      <c r="AJ26" s="776"/>
    </row>
    <row r="27" spans="1:36" s="8" customFormat="1" ht="33" customHeight="1" thickBot="1">
      <c r="A27" s="133"/>
      <c r="B27" s="119" t="s">
        <v>71</v>
      </c>
      <c r="C27" s="134" t="s">
        <v>104</v>
      </c>
      <c r="D27" s="134"/>
      <c r="E27" s="369">
        <v>0</v>
      </c>
      <c r="F27" s="301"/>
      <c r="G27" s="301"/>
      <c r="H27" s="301"/>
      <c r="I27" s="301"/>
      <c r="J27" s="301"/>
      <c r="K27" s="301"/>
      <c r="L27" s="776"/>
      <c r="M27" s="369">
        <v>0</v>
      </c>
      <c r="N27" s="301"/>
      <c r="O27" s="301"/>
      <c r="P27" s="301"/>
      <c r="Q27" s="301"/>
      <c r="R27" s="301"/>
      <c r="S27" s="301"/>
      <c r="T27" s="776"/>
      <c r="U27" s="369">
        <v>0</v>
      </c>
      <c r="V27" s="301"/>
      <c r="W27" s="301"/>
      <c r="X27" s="301"/>
      <c r="Y27" s="301"/>
      <c r="Z27" s="301"/>
      <c r="AA27" s="301"/>
      <c r="AB27" s="776"/>
      <c r="AC27" s="369">
        <v>0</v>
      </c>
      <c r="AD27" s="301"/>
      <c r="AE27" s="301"/>
      <c r="AF27" s="301"/>
      <c r="AG27" s="301"/>
      <c r="AH27" s="301"/>
      <c r="AI27" s="301"/>
      <c r="AJ27" s="776"/>
    </row>
    <row r="28" spans="1:36" s="8" customFormat="1" ht="33" customHeight="1" thickBot="1">
      <c r="A28" s="94" t="s">
        <v>11</v>
      </c>
      <c r="B28" s="120" t="s">
        <v>105</v>
      </c>
      <c r="C28" s="120"/>
      <c r="D28" s="120"/>
      <c r="E28" s="371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777"/>
      <c r="M28" s="371">
        <v>0</v>
      </c>
      <c r="N28" s="372">
        <v>0</v>
      </c>
      <c r="O28" s="372">
        <v>0</v>
      </c>
      <c r="P28" s="372">
        <v>0</v>
      </c>
      <c r="Q28" s="372">
        <v>0</v>
      </c>
      <c r="R28" s="372"/>
      <c r="S28" s="372"/>
      <c r="T28" s="777"/>
      <c r="U28" s="371">
        <v>0</v>
      </c>
      <c r="V28" s="372"/>
      <c r="W28" s="372"/>
      <c r="X28" s="372"/>
      <c r="Y28" s="372"/>
      <c r="Z28" s="372"/>
      <c r="AA28" s="372"/>
      <c r="AB28" s="777"/>
      <c r="AC28" s="371">
        <v>0</v>
      </c>
      <c r="AD28" s="372"/>
      <c r="AE28" s="372"/>
      <c r="AF28" s="372"/>
      <c r="AG28" s="372"/>
      <c r="AH28" s="372"/>
      <c r="AI28" s="372"/>
      <c r="AJ28" s="777"/>
    </row>
    <row r="29" spans="1:36" s="8" customFormat="1" ht="33" customHeight="1" thickBot="1">
      <c r="A29" s="114" t="s">
        <v>12</v>
      </c>
      <c r="B29" s="1307" t="s">
        <v>106</v>
      </c>
      <c r="C29" s="1307"/>
      <c r="D29" s="1307"/>
      <c r="E29" s="368">
        <f aca="true" t="shared" si="16" ref="E29:O29">E5+E16+E24+E28</f>
        <v>608113858</v>
      </c>
      <c r="F29" s="299">
        <f t="shared" si="16"/>
        <v>579343858</v>
      </c>
      <c r="G29" s="299">
        <f t="shared" si="16"/>
        <v>579403358</v>
      </c>
      <c r="H29" s="299">
        <f t="shared" si="16"/>
        <v>595519804</v>
      </c>
      <c r="I29" s="299">
        <f>I5+I16+I24+I28</f>
        <v>597475670</v>
      </c>
      <c r="J29" s="299">
        <f>J5+J16+J24+J28</f>
        <v>659298074</v>
      </c>
      <c r="K29" s="299">
        <f>K5+K16+K24+K28</f>
        <v>532033933</v>
      </c>
      <c r="L29" s="770">
        <f t="shared" si="3"/>
        <v>0.8069702521230178</v>
      </c>
      <c r="M29" s="368">
        <f t="shared" si="16"/>
        <v>587466065</v>
      </c>
      <c r="N29" s="299">
        <f t="shared" si="16"/>
        <v>558696065</v>
      </c>
      <c r="O29" s="299">
        <f t="shared" si="16"/>
        <v>558745565</v>
      </c>
      <c r="P29" s="299">
        <f>P5+P16+P24+P28</f>
        <v>573132011</v>
      </c>
      <c r="Q29" s="299">
        <f>Q5+Q16+Q24+Q28</f>
        <v>575087877</v>
      </c>
      <c r="R29" s="299">
        <f>R5+R16+R24+R28</f>
        <v>636697741</v>
      </c>
      <c r="S29" s="299">
        <f>S5+S16+S24+S28</f>
        <v>512856116</v>
      </c>
      <c r="T29" s="770">
        <f t="shared" si="5"/>
        <v>0.8054938520662979</v>
      </c>
      <c r="U29" s="368">
        <f aca="true" t="shared" si="17" ref="U29:AH29">U5+U16+U24+U28</f>
        <v>20647793</v>
      </c>
      <c r="V29" s="299">
        <f t="shared" si="17"/>
        <v>20647793</v>
      </c>
      <c r="W29" s="299">
        <f>W5+W16+W24+W28</f>
        <v>20657793</v>
      </c>
      <c r="X29" s="299">
        <f t="shared" si="17"/>
        <v>22387793</v>
      </c>
      <c r="Y29" s="299">
        <f t="shared" si="17"/>
        <v>22387793</v>
      </c>
      <c r="Z29" s="299">
        <f>Z5+Z16+Z24+Z28</f>
        <v>22600333</v>
      </c>
      <c r="AA29" s="299">
        <f>AA5+AA16+AA24+AA28</f>
        <v>19177817</v>
      </c>
      <c r="AB29" s="770">
        <f t="shared" si="6"/>
        <v>0.8485634702816105</v>
      </c>
      <c r="AC29" s="368">
        <f t="shared" si="17"/>
        <v>4847310</v>
      </c>
      <c r="AD29" s="299">
        <f t="shared" si="17"/>
        <v>4847310</v>
      </c>
      <c r="AE29" s="299">
        <f t="shared" si="17"/>
        <v>4847310</v>
      </c>
      <c r="AF29" s="299">
        <f t="shared" si="17"/>
        <v>4847310</v>
      </c>
      <c r="AG29" s="299">
        <f t="shared" si="17"/>
        <v>4847310</v>
      </c>
      <c r="AH29" s="299">
        <f t="shared" si="17"/>
        <v>4847310</v>
      </c>
      <c r="AI29" s="299">
        <f>AI5+AI16+AI24+AI28</f>
        <v>4551213</v>
      </c>
      <c r="AJ29" s="770">
        <f>AI29/AH29</f>
        <v>0.9389151921374949</v>
      </c>
    </row>
    <row r="30" spans="1:36" s="8" customFormat="1" ht="33" customHeight="1" thickBot="1">
      <c r="A30" s="92" t="s">
        <v>13</v>
      </c>
      <c r="B30" s="1328" t="s">
        <v>217</v>
      </c>
      <c r="C30" s="1328"/>
      <c r="D30" s="1328"/>
      <c r="E30" s="373">
        <f>SUM(E31:E33)</f>
        <v>8964221</v>
      </c>
      <c r="F30" s="373">
        <f aca="true" t="shared" si="18" ref="F30:O30">SUM(F31:F33)</f>
        <v>37734221</v>
      </c>
      <c r="G30" s="373">
        <f t="shared" si="18"/>
        <v>37734221</v>
      </c>
      <c r="H30" s="373">
        <f>SUM(H31:H33)</f>
        <v>38490156</v>
      </c>
      <c r="I30" s="373">
        <f>SUM(I31:I33)</f>
        <v>38490156</v>
      </c>
      <c r="J30" s="373">
        <f>SUM(J31:J33)</f>
        <v>38490156</v>
      </c>
      <c r="K30" s="373">
        <f>SUM(K31:K33)</f>
        <v>37734221</v>
      </c>
      <c r="L30" s="770">
        <f t="shared" si="3"/>
        <v>0.9803603030343655</v>
      </c>
      <c r="M30" s="373">
        <f t="shared" si="18"/>
        <v>8964221</v>
      </c>
      <c r="N30" s="117">
        <f t="shared" si="18"/>
        <v>37734221</v>
      </c>
      <c r="O30" s="117">
        <f t="shared" si="18"/>
        <v>37734221</v>
      </c>
      <c r="P30" s="117">
        <f>SUM(P31:P33)</f>
        <v>38490156</v>
      </c>
      <c r="Q30" s="117">
        <f>SUM(Q31:Q33)</f>
        <v>38490156</v>
      </c>
      <c r="R30" s="117">
        <f>SUM(R31:R33)</f>
        <v>38490156</v>
      </c>
      <c r="S30" s="117">
        <f>SUM(S31:S33)</f>
        <v>37734221</v>
      </c>
      <c r="T30" s="770">
        <f t="shared" si="5"/>
        <v>0.9803603030343655</v>
      </c>
      <c r="U30" s="373"/>
      <c r="V30" s="117"/>
      <c r="W30" s="117"/>
      <c r="X30" s="117"/>
      <c r="Y30" s="117"/>
      <c r="Z30" s="117"/>
      <c r="AA30" s="117"/>
      <c r="AB30" s="770"/>
      <c r="AC30" s="373"/>
      <c r="AD30" s="117"/>
      <c r="AE30" s="117"/>
      <c r="AF30" s="117"/>
      <c r="AG30" s="117"/>
      <c r="AH30" s="117"/>
      <c r="AI30" s="117"/>
      <c r="AJ30" s="770"/>
    </row>
    <row r="31" spans="1:36" s="5" customFormat="1" ht="33" customHeight="1">
      <c r="A31" s="136"/>
      <c r="B31" s="118" t="s">
        <v>48</v>
      </c>
      <c r="C31" s="1308" t="s">
        <v>296</v>
      </c>
      <c r="D31" s="1308"/>
      <c r="E31" s="369">
        <v>0</v>
      </c>
      <c r="F31" s="301"/>
      <c r="G31" s="301"/>
      <c r="H31" s="301">
        <f>'4.sz.m.ÖNK kiadás'!H33</f>
        <v>755935</v>
      </c>
      <c r="I31" s="301">
        <f>'4.sz.m.ÖNK kiadás'!I33</f>
        <v>755935</v>
      </c>
      <c r="J31" s="301">
        <f>'4.sz.m.ÖNK kiadás'!J33</f>
        <v>755935</v>
      </c>
      <c r="K31" s="301">
        <f>'4.sz.m.ÖNK kiadás'!K33</f>
        <v>0</v>
      </c>
      <c r="L31" s="776">
        <f t="shared" si="3"/>
        <v>0</v>
      </c>
      <c r="M31" s="369">
        <v>0</v>
      </c>
      <c r="N31" s="301"/>
      <c r="O31" s="301"/>
      <c r="P31" s="301">
        <f>'4.sz.m.ÖNK kiadás'!P33</f>
        <v>755935</v>
      </c>
      <c r="Q31" s="301">
        <f>'4.sz.m.ÖNK kiadás'!Q33</f>
        <v>755935</v>
      </c>
      <c r="R31" s="135">
        <f aca="true" t="shared" si="19" ref="R31:S33">J31</f>
        <v>755935</v>
      </c>
      <c r="S31" s="135">
        <f t="shared" si="19"/>
        <v>0</v>
      </c>
      <c r="T31" s="776">
        <f t="shared" si="5"/>
        <v>0</v>
      </c>
      <c r="U31" s="369">
        <v>0</v>
      </c>
      <c r="V31" s="301"/>
      <c r="W31" s="301"/>
      <c r="X31" s="301"/>
      <c r="Y31" s="301"/>
      <c r="Z31" s="301"/>
      <c r="AA31" s="301"/>
      <c r="AB31" s="776"/>
      <c r="AC31" s="369">
        <v>0</v>
      </c>
      <c r="AD31" s="301"/>
      <c r="AE31" s="301"/>
      <c r="AF31" s="301"/>
      <c r="AG31" s="301"/>
      <c r="AH31" s="301"/>
      <c r="AI31" s="301"/>
      <c r="AJ31" s="776"/>
    </row>
    <row r="32" spans="1:36" s="5" customFormat="1" ht="33" customHeight="1">
      <c r="A32" s="132"/>
      <c r="B32" s="119" t="s">
        <v>339</v>
      </c>
      <c r="C32" s="1327" t="s">
        <v>541</v>
      </c>
      <c r="D32" s="1327"/>
      <c r="E32" s="374">
        <v>0</v>
      </c>
      <c r="F32" s="135">
        <f>'4.sz.m.ÖNK kiadás'!F34</f>
        <v>28770000</v>
      </c>
      <c r="G32" s="135">
        <f>'4.sz.m.ÖNK kiadás'!G34</f>
        <v>28770000</v>
      </c>
      <c r="H32" s="135">
        <f>'4.sz.m.ÖNK kiadás'!H34</f>
        <v>28770000</v>
      </c>
      <c r="I32" s="135">
        <f>'4.sz.m.ÖNK kiadás'!I34</f>
        <v>28770000</v>
      </c>
      <c r="J32" s="135">
        <f>'4.sz.m.ÖNK kiadás'!J34</f>
        <v>28770000</v>
      </c>
      <c r="K32" s="135">
        <f>'4.sz.m.ÖNK kiadás'!K34</f>
        <v>28770000</v>
      </c>
      <c r="L32" s="987">
        <f t="shared" si="3"/>
        <v>1</v>
      </c>
      <c r="M32" s="374">
        <v>0</v>
      </c>
      <c r="N32" s="135">
        <f>'4.sz.m.ÖNK kiadás'!N34</f>
        <v>28770000</v>
      </c>
      <c r="O32" s="135">
        <f>'4.sz.m.ÖNK kiadás'!O34</f>
        <v>28770000</v>
      </c>
      <c r="P32" s="135">
        <f>'4.sz.m.ÖNK kiadás'!P34</f>
        <v>28770000</v>
      </c>
      <c r="Q32" s="135">
        <f>'4.sz.m.ÖNK kiadás'!Q34</f>
        <v>28770000</v>
      </c>
      <c r="R32" s="135">
        <f t="shared" si="19"/>
        <v>28770000</v>
      </c>
      <c r="S32" s="135">
        <f t="shared" si="19"/>
        <v>28770000</v>
      </c>
      <c r="T32" s="987">
        <f t="shared" si="5"/>
        <v>1</v>
      </c>
      <c r="U32" s="374">
        <v>0</v>
      </c>
      <c r="V32" s="135"/>
      <c r="W32" s="135"/>
      <c r="X32" s="135"/>
      <c r="Y32" s="135"/>
      <c r="Z32" s="135"/>
      <c r="AA32" s="135"/>
      <c r="AB32" s="987"/>
      <c r="AC32" s="374">
        <v>0</v>
      </c>
      <c r="AD32" s="135"/>
      <c r="AE32" s="135"/>
      <c r="AF32" s="135"/>
      <c r="AG32" s="135"/>
      <c r="AH32" s="135"/>
      <c r="AI32" s="135"/>
      <c r="AJ32" s="987"/>
    </row>
    <row r="33" spans="1:36" s="5" customFormat="1" ht="33" customHeight="1" thickBot="1">
      <c r="A33" s="132"/>
      <c r="B33" s="119" t="s">
        <v>474</v>
      </c>
      <c r="C33" s="1335" t="s">
        <v>473</v>
      </c>
      <c r="D33" s="1335"/>
      <c r="E33" s="374">
        <f>'4.sz.m.ÖNK kiadás'!E36</f>
        <v>8964221</v>
      </c>
      <c r="F33" s="135">
        <f>'4.sz.m.ÖNK kiadás'!F36</f>
        <v>8964221</v>
      </c>
      <c r="G33" s="135">
        <f>'4.sz.m.ÖNK kiadás'!G36</f>
        <v>8964221</v>
      </c>
      <c r="H33" s="135">
        <f>'4.sz.m.ÖNK kiadás'!H36</f>
        <v>8964221</v>
      </c>
      <c r="I33" s="135">
        <f>'4.sz.m.ÖNK kiadás'!I36</f>
        <v>8964221</v>
      </c>
      <c r="J33" s="135">
        <f>'4.sz.m.ÖNK kiadás'!J36</f>
        <v>8964221</v>
      </c>
      <c r="K33" s="135">
        <f>'4.sz.m.ÖNK kiadás'!K36</f>
        <v>8964221</v>
      </c>
      <c r="L33" s="988">
        <f t="shared" si="3"/>
        <v>1</v>
      </c>
      <c r="M33" s="374">
        <f>'4.sz.m.ÖNK kiadás'!M36</f>
        <v>8964221</v>
      </c>
      <c r="N33" s="135">
        <f>'4.sz.m.ÖNK kiadás'!N36</f>
        <v>8964221</v>
      </c>
      <c r="O33" s="135">
        <f>'4.sz.m.ÖNK kiadás'!O36</f>
        <v>8964221</v>
      </c>
      <c r="P33" s="135">
        <f>'4.sz.m.ÖNK kiadás'!P36</f>
        <v>8964221</v>
      </c>
      <c r="Q33" s="135">
        <f>'4.sz.m.ÖNK kiadás'!Q36</f>
        <v>8964221</v>
      </c>
      <c r="R33" s="135">
        <f t="shared" si="19"/>
        <v>8964221</v>
      </c>
      <c r="S33" s="135">
        <f t="shared" si="19"/>
        <v>8964221</v>
      </c>
      <c r="T33" s="988">
        <f t="shared" si="5"/>
        <v>1</v>
      </c>
      <c r="U33" s="374">
        <v>0</v>
      </c>
      <c r="V33" s="135"/>
      <c r="W33" s="135"/>
      <c r="X33" s="135"/>
      <c r="Y33" s="135"/>
      <c r="Z33" s="135"/>
      <c r="AA33" s="135"/>
      <c r="AB33" s="988"/>
      <c r="AC33" s="374">
        <v>0</v>
      </c>
      <c r="AD33" s="135"/>
      <c r="AE33" s="135"/>
      <c r="AF33" s="135"/>
      <c r="AG33" s="135"/>
      <c r="AH33" s="135"/>
      <c r="AI33" s="135"/>
      <c r="AJ33" s="988"/>
    </row>
    <row r="34" spans="1:36" s="5" customFormat="1" ht="33" customHeight="1" thickBot="1">
      <c r="A34" s="390" t="s">
        <v>14</v>
      </c>
      <c r="B34" s="1337" t="s">
        <v>248</v>
      </c>
      <c r="C34" s="1337"/>
      <c r="D34" s="1337"/>
      <c r="E34" s="391">
        <f aca="true" t="shared" si="20" ref="E34:K34">E29+E30</f>
        <v>617078079</v>
      </c>
      <c r="F34" s="392">
        <f t="shared" si="20"/>
        <v>617078079</v>
      </c>
      <c r="G34" s="392">
        <f t="shared" si="20"/>
        <v>617137579</v>
      </c>
      <c r="H34" s="392">
        <f t="shared" si="20"/>
        <v>634009960</v>
      </c>
      <c r="I34" s="392">
        <f t="shared" si="20"/>
        <v>635965826</v>
      </c>
      <c r="J34" s="392">
        <f t="shared" si="20"/>
        <v>697788230</v>
      </c>
      <c r="K34" s="392">
        <f t="shared" si="20"/>
        <v>569768154</v>
      </c>
      <c r="L34" s="781">
        <f t="shared" si="3"/>
        <v>0.8165344864014115</v>
      </c>
      <c r="M34" s="391">
        <f aca="true" t="shared" si="21" ref="M34:R34">M29+M30</f>
        <v>596430286</v>
      </c>
      <c r="N34" s="392">
        <f t="shared" si="21"/>
        <v>596430286</v>
      </c>
      <c r="O34" s="392">
        <f t="shared" si="21"/>
        <v>596479786</v>
      </c>
      <c r="P34" s="392">
        <f t="shared" si="21"/>
        <v>611622167</v>
      </c>
      <c r="Q34" s="392">
        <f t="shared" si="21"/>
        <v>613578033</v>
      </c>
      <c r="R34" s="392">
        <f t="shared" si="21"/>
        <v>675187897</v>
      </c>
      <c r="S34" s="392">
        <f>S29+S30</f>
        <v>550590337</v>
      </c>
      <c r="T34" s="781">
        <f t="shared" si="5"/>
        <v>0.8154623912045628</v>
      </c>
      <c r="U34" s="391">
        <f aca="true" t="shared" si="22" ref="U34:Z34">U29+U30</f>
        <v>20647793</v>
      </c>
      <c r="V34" s="392">
        <f t="shared" si="22"/>
        <v>20647793</v>
      </c>
      <c r="W34" s="392">
        <f t="shared" si="22"/>
        <v>20657793</v>
      </c>
      <c r="X34" s="392">
        <f t="shared" si="22"/>
        <v>22387793</v>
      </c>
      <c r="Y34" s="392">
        <f t="shared" si="22"/>
        <v>22387793</v>
      </c>
      <c r="Z34" s="392">
        <f t="shared" si="22"/>
        <v>22600333</v>
      </c>
      <c r="AA34" s="392">
        <f>AA29+AA30</f>
        <v>19177817</v>
      </c>
      <c r="AB34" s="781">
        <f t="shared" si="6"/>
        <v>0.8485634702816105</v>
      </c>
      <c r="AC34" s="391">
        <f aca="true" t="shared" si="23" ref="AC34:AH34">AC29+AC30</f>
        <v>4847310</v>
      </c>
      <c r="AD34" s="392">
        <f t="shared" si="23"/>
        <v>4847310</v>
      </c>
      <c r="AE34" s="392">
        <f t="shared" si="23"/>
        <v>4847310</v>
      </c>
      <c r="AF34" s="392">
        <f t="shared" si="23"/>
        <v>4847310</v>
      </c>
      <c r="AG34" s="392">
        <f t="shared" si="23"/>
        <v>4847310</v>
      </c>
      <c r="AH34" s="392">
        <f t="shared" si="23"/>
        <v>4847310</v>
      </c>
      <c r="AI34" s="392">
        <f>AI29+AI30</f>
        <v>4551213</v>
      </c>
      <c r="AJ34" s="781">
        <f>AI34/AH34</f>
        <v>0.9389151921374949</v>
      </c>
    </row>
    <row r="35" spans="1:36" s="5" customFormat="1" ht="33" customHeight="1" hidden="1" thickBot="1">
      <c r="A35" s="1333" t="s">
        <v>249</v>
      </c>
      <c r="B35" s="1334"/>
      <c r="C35" s="1334"/>
      <c r="D35" s="1334"/>
      <c r="E35" s="457"/>
      <c r="F35" s="393"/>
      <c r="G35" s="393"/>
      <c r="H35" s="393"/>
      <c r="I35" s="393"/>
      <c r="J35" s="393"/>
      <c r="K35" s="393"/>
      <c r="L35" s="780" t="e">
        <f t="shared" si="3"/>
        <v>#DIV/0!</v>
      </c>
      <c r="M35" s="457"/>
      <c r="N35" s="393"/>
      <c r="O35" s="393"/>
      <c r="P35" s="393"/>
      <c r="Q35" s="393"/>
      <c r="R35" s="393"/>
      <c r="S35" s="393"/>
      <c r="T35" s="780" t="e">
        <f t="shared" si="5"/>
        <v>#DIV/0!</v>
      </c>
      <c r="U35" s="457"/>
      <c r="V35" s="393"/>
      <c r="W35" s="393"/>
      <c r="X35" s="393"/>
      <c r="Y35" s="393"/>
      <c r="Z35" s="393"/>
      <c r="AA35" s="393"/>
      <c r="AB35" s="780" t="e">
        <f t="shared" si="6"/>
        <v>#DIV/0!</v>
      </c>
      <c r="AC35" s="457"/>
      <c r="AD35" s="393"/>
      <c r="AE35" s="393"/>
      <c r="AF35" s="393"/>
      <c r="AG35" s="393"/>
      <c r="AH35" s="393"/>
      <c r="AI35" s="393"/>
      <c r="AJ35" s="780" t="e">
        <f>AI35/AH35</f>
        <v>#DIV/0!</v>
      </c>
    </row>
    <row r="36" spans="1:36" s="5" customFormat="1" ht="33" customHeight="1" thickBot="1">
      <c r="A36" s="1306" t="s">
        <v>108</v>
      </c>
      <c r="B36" s="1307"/>
      <c r="C36" s="1307"/>
      <c r="D36" s="1307"/>
      <c r="E36" s="370">
        <f aca="true" t="shared" si="24" ref="E36:O36">E34+E35</f>
        <v>617078079</v>
      </c>
      <c r="F36" s="78">
        <f t="shared" si="24"/>
        <v>617078079</v>
      </c>
      <c r="G36" s="78">
        <f t="shared" si="24"/>
        <v>617137579</v>
      </c>
      <c r="H36" s="78">
        <f t="shared" si="24"/>
        <v>634009960</v>
      </c>
      <c r="I36" s="78">
        <f>I34+I35</f>
        <v>635965826</v>
      </c>
      <c r="J36" s="78">
        <f>J34+J35</f>
        <v>697788230</v>
      </c>
      <c r="K36" s="78">
        <f>K34+K35</f>
        <v>569768154</v>
      </c>
      <c r="L36" s="774">
        <f t="shared" si="3"/>
        <v>0.8165344864014115</v>
      </c>
      <c r="M36" s="370">
        <f t="shared" si="24"/>
        <v>596430286</v>
      </c>
      <c r="N36" s="78">
        <f t="shared" si="24"/>
        <v>596430286</v>
      </c>
      <c r="O36" s="78">
        <f t="shared" si="24"/>
        <v>596479786</v>
      </c>
      <c r="P36" s="78">
        <f>P34+P35</f>
        <v>611622167</v>
      </c>
      <c r="Q36" s="78">
        <f>Q34+Q35</f>
        <v>613578033</v>
      </c>
      <c r="R36" s="78">
        <f>R34+R35</f>
        <v>675187897</v>
      </c>
      <c r="S36" s="78">
        <f>S34+S35</f>
        <v>550590337</v>
      </c>
      <c r="T36" s="774">
        <f t="shared" si="5"/>
        <v>0.8154623912045628</v>
      </c>
      <c r="U36" s="370">
        <f aca="true" t="shared" si="25" ref="U36:AH36">U34+U35</f>
        <v>20647793</v>
      </c>
      <c r="V36" s="78">
        <f t="shared" si="25"/>
        <v>20647793</v>
      </c>
      <c r="W36" s="78">
        <f>W34+W35</f>
        <v>20657793</v>
      </c>
      <c r="X36" s="78">
        <f t="shared" si="25"/>
        <v>22387793</v>
      </c>
      <c r="Y36" s="78">
        <f t="shared" si="25"/>
        <v>22387793</v>
      </c>
      <c r="Z36" s="78">
        <f>Z34+Z35</f>
        <v>22600333</v>
      </c>
      <c r="AA36" s="78">
        <f>AA34+AA35</f>
        <v>19177817</v>
      </c>
      <c r="AB36" s="774">
        <f t="shared" si="6"/>
        <v>0.8485634702816105</v>
      </c>
      <c r="AC36" s="370">
        <f t="shared" si="25"/>
        <v>4847310</v>
      </c>
      <c r="AD36" s="78">
        <f t="shared" si="25"/>
        <v>4847310</v>
      </c>
      <c r="AE36" s="78">
        <f t="shared" si="25"/>
        <v>4847310</v>
      </c>
      <c r="AF36" s="78">
        <f t="shared" si="25"/>
        <v>4847310</v>
      </c>
      <c r="AG36" s="78">
        <f t="shared" si="25"/>
        <v>4847310</v>
      </c>
      <c r="AH36" s="78">
        <f t="shared" si="25"/>
        <v>4847310</v>
      </c>
      <c r="AI36" s="78">
        <f>AI34+AI35</f>
        <v>4551213</v>
      </c>
      <c r="AJ36" s="774">
        <f>AI36/AH36</f>
        <v>0.9389151921374949</v>
      </c>
    </row>
    <row r="37" spans="1:35" s="5" customFormat="1" ht="19.5" customHeight="1">
      <c r="A37" s="65"/>
      <c r="B37" s="121"/>
      <c r="C37" s="65"/>
      <c r="D37" s="65"/>
      <c r="E37" s="6"/>
      <c r="F37" s="6"/>
      <c r="G37" s="6"/>
      <c r="H37" s="6"/>
      <c r="I37" s="6"/>
      <c r="J37" s="6"/>
      <c r="K37" s="6"/>
      <c r="L37" s="6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459"/>
      <c r="AD37" s="459"/>
      <c r="AE37" s="459"/>
      <c r="AF37" s="459"/>
      <c r="AG37" s="459"/>
      <c r="AH37" s="459"/>
      <c r="AI37" s="459"/>
    </row>
    <row r="38" spans="1:35" s="5" customFormat="1" ht="19.5" customHeight="1">
      <c r="A38" s="65"/>
      <c r="B38" s="121"/>
      <c r="C38" s="65"/>
      <c r="D38" s="65"/>
      <c r="E38" s="6"/>
      <c r="F38" s="6"/>
      <c r="G38" s="6"/>
      <c r="H38" s="6"/>
      <c r="I38" s="6"/>
      <c r="J38" s="6"/>
      <c r="K38" s="6"/>
      <c r="L38" s="6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458"/>
      <c r="AD38" s="458"/>
      <c r="AE38" s="458"/>
      <c r="AF38" s="458"/>
      <c r="AG38" s="458"/>
      <c r="AH38" s="458"/>
      <c r="AI38" s="458"/>
    </row>
    <row r="39" spans="1:35" s="5" customFormat="1" ht="19.5" customHeight="1">
      <c r="A39" s="65"/>
      <c r="B39" s="121"/>
      <c r="C39" s="1339" t="s">
        <v>55</v>
      </c>
      <c r="D39" s="1339"/>
      <c r="E39" s="1339"/>
      <c r="F39" s="1339"/>
      <c r="G39" s="1339"/>
      <c r="H39" s="1339"/>
      <c r="I39" s="1339"/>
      <c r="J39" s="1339"/>
      <c r="K39" s="1339"/>
      <c r="L39" s="1339"/>
      <c r="M39" s="1339"/>
      <c r="N39" s="1339"/>
      <c r="O39" s="1339"/>
      <c r="P39" s="1339"/>
      <c r="Q39" s="1339"/>
      <c r="R39" s="1339"/>
      <c r="S39" s="1339"/>
      <c r="T39" s="1339"/>
      <c r="U39" s="1339"/>
      <c r="V39" s="311"/>
      <c r="W39" s="311"/>
      <c r="X39" s="311"/>
      <c r="Y39" s="311"/>
      <c r="Z39" s="311"/>
      <c r="AA39" s="311"/>
      <c r="AB39" s="311"/>
      <c r="AC39" s="460"/>
      <c r="AD39" s="460"/>
      <c r="AE39" s="460"/>
      <c r="AF39" s="460"/>
      <c r="AG39" s="460"/>
      <c r="AH39" s="461"/>
      <c r="AI39" s="461"/>
    </row>
    <row r="40" spans="1:35" s="5" customFormat="1" ht="19.5" customHeight="1" thickBot="1">
      <c r="A40" s="264" t="s">
        <v>56</v>
      </c>
      <c r="B40" s="264"/>
      <c r="E40" s="242"/>
      <c r="F40" s="242"/>
      <c r="G40" s="242"/>
      <c r="H40" s="242"/>
      <c r="I40" s="242"/>
      <c r="J40" s="242"/>
      <c r="K40" s="242"/>
      <c r="L40" s="242"/>
      <c r="M40" s="243"/>
      <c r="N40" s="243"/>
      <c r="O40" s="243"/>
      <c r="P40" s="243"/>
      <c r="Q40" s="243"/>
      <c r="R40" s="243"/>
      <c r="S40" s="243"/>
      <c r="T40" s="243"/>
      <c r="U40" s="244">
        <v>0</v>
      </c>
      <c r="V40" s="244"/>
      <c r="W40" s="244"/>
      <c r="X40" s="244"/>
      <c r="Y40" s="244"/>
      <c r="Z40" s="244"/>
      <c r="AA40" s="244"/>
      <c r="AB40" s="244"/>
      <c r="AC40" s="462"/>
      <c r="AD40" s="462"/>
      <c r="AE40" s="462"/>
      <c r="AF40" s="462"/>
      <c r="AG40" s="462"/>
      <c r="AH40" s="463"/>
      <c r="AI40" s="463"/>
    </row>
    <row r="41" spans="1:36" ht="52.5" customHeight="1" thickBot="1">
      <c r="A41" s="245">
        <v>1</v>
      </c>
      <c r="B41" s="1361" t="s">
        <v>158</v>
      </c>
      <c r="C41" s="1362"/>
      <c r="D41" s="1363"/>
      <c r="E41" s="263">
        <f>'1.sz.m-önk.össze.bev'!E56-'1 .sz.m.önk.össz.kiad.'!E29</f>
        <v>-141604907</v>
      </c>
      <c r="F41" s="263">
        <f>'1.sz.m-önk.össze.bev'!F56-'1 .sz.m.önk.össz.kiad.'!F29</f>
        <v>-112834907</v>
      </c>
      <c r="G41" s="263">
        <f>'1.sz.m-önk.össze.bev'!G56-'1 .sz.m.önk.össz.kiad.'!G29</f>
        <v>-109147744</v>
      </c>
      <c r="H41" s="263">
        <f>'1.sz.m-önk.össze.bev'!H56-'1 .sz.m.önk.össz.kiad.'!H29</f>
        <v>-108391809</v>
      </c>
      <c r="I41" s="263">
        <f>'1.sz.m-önk.össze.bev'!I56-'1 .sz.m.önk.össz.kiad.'!I29</f>
        <v>-108391809</v>
      </c>
      <c r="J41" s="263">
        <f>'1.sz.m-önk.össze.bev'!J56-'1 .sz.m.önk.össz.kiad.'!J29</f>
        <v>-116514228</v>
      </c>
      <c r="K41" s="263">
        <f>'1.sz.m-önk.össze.bev'!K56-'1 .sz.m.önk.össz.kiad.'!K29</f>
        <v>434057</v>
      </c>
      <c r="L41" s="263"/>
      <c r="M41" s="263">
        <f>'1.sz.m-önk.össze.bev'!M56-'1 .sz.m.önk.össz.kiad.'!M29</f>
        <v>-141604907</v>
      </c>
      <c r="N41" s="263">
        <f>'1.sz.m-önk.össze.bev'!N56-'1 .sz.m.önk.össz.kiad.'!N29</f>
        <v>-112834907</v>
      </c>
      <c r="O41" s="263">
        <f>'1.sz.m-önk.össze.bev'!O56-'1 .sz.m.önk.össz.kiad.'!O29</f>
        <v>-109147744</v>
      </c>
      <c r="P41" s="263">
        <f>'1.sz.m-önk.össze.bev'!P56-'1 .sz.m.önk.össz.kiad.'!P29</f>
        <v>-108391809</v>
      </c>
      <c r="Q41" s="263">
        <f>'1.sz.m-önk.össze.bev'!Q56-'1 .sz.m.önk.össz.kiad.'!Q29</f>
        <v>-108391809</v>
      </c>
      <c r="R41" s="263">
        <f>'1.sz.m-önk.össze.bev'!R56-'1 .sz.m.önk.össz.kiad.'!R29</f>
        <v>-116514228</v>
      </c>
      <c r="S41" s="263">
        <f>'1.sz.m-önk.össze.bev'!S56-'1 .sz.m.önk.össz.kiad.'!S29</f>
        <v>-2988459</v>
      </c>
      <c r="T41" s="263"/>
      <c r="U41" s="263"/>
      <c r="V41" s="263"/>
      <c r="W41" s="263"/>
      <c r="X41" s="263"/>
      <c r="Y41" s="263"/>
      <c r="Z41" s="263"/>
      <c r="AA41" s="263">
        <f>'1.sz.m-önk.össze.bev'!AA56-'1 .sz.m.önk.össz.kiad.'!AA29</f>
        <v>3422516</v>
      </c>
      <c r="AB41" s="263"/>
      <c r="AC41" s="263">
        <f>'1.sz.m-önk.össze.bev'!AA56-'1 .sz.m.önk.össz.kiad.'!AC29</f>
        <v>17753023</v>
      </c>
      <c r="AD41" s="263">
        <f>'1.sz.m-önk.össze.bev'!AB56-'1 .sz.m.önk.össz.kiad.'!AD29</f>
        <v>-4847310</v>
      </c>
      <c r="AE41" s="263">
        <f>'1.sz.m-önk.össze.bev'!AC56-'1 .sz.m.önk.össz.kiad.'!AE29</f>
        <v>-4847310</v>
      </c>
      <c r="AF41" s="263">
        <f>'1.sz.m-önk.össze.bev'!AD56-'1 .sz.m.önk.össz.kiad.'!AF29</f>
        <v>-4847310</v>
      </c>
      <c r="AG41" s="263">
        <f>'1.sz.m-önk.össze.bev'!AE56-'1 .sz.m.önk.össz.kiad.'!AG29</f>
        <v>-4847310</v>
      </c>
      <c r="AH41" s="263">
        <f>'1.sz.m-önk.össze.bev'!AF56-'1 .sz.m.önk.össz.kiad.'!AH29</f>
        <v>-4847310</v>
      </c>
      <c r="AI41" s="263">
        <f>'1.sz.m-önk.össze.bev'!AG56-'1 .sz.m.önk.össz.kiad.'!AI29</f>
        <v>-4551213</v>
      </c>
      <c r="AJ41" s="263"/>
    </row>
    <row r="42" spans="1:28" ht="15.75">
      <c r="A42" s="123"/>
      <c r="B42" s="64"/>
      <c r="C42" s="242"/>
      <c r="D42" s="242"/>
      <c r="E42" s="246"/>
      <c r="F42" s="246"/>
      <c r="G42" s="246"/>
      <c r="H42" s="246"/>
      <c r="I42" s="246"/>
      <c r="J42" s="246"/>
      <c r="K42" s="246"/>
      <c r="L42" s="246"/>
      <c r="M42" s="243"/>
      <c r="N42" s="243"/>
      <c r="O42" s="243"/>
      <c r="P42" s="243"/>
      <c r="Q42" s="243"/>
      <c r="R42" s="243"/>
      <c r="S42" s="243"/>
      <c r="T42" s="243"/>
      <c r="U42" s="244">
        <v>0</v>
      </c>
      <c r="V42" s="244"/>
      <c r="W42" s="244"/>
      <c r="X42" s="244"/>
      <c r="Y42" s="244"/>
      <c r="Z42" s="244"/>
      <c r="AA42" s="244"/>
      <c r="AB42" s="244"/>
    </row>
    <row r="43" spans="1:28" ht="15.75" customHeight="1">
      <c r="A43" s="123"/>
      <c r="B43" s="64"/>
      <c r="C43" s="1359" t="s">
        <v>159</v>
      </c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309"/>
      <c r="W43" s="309"/>
      <c r="X43" s="309"/>
      <c r="Y43" s="309"/>
      <c r="Z43" s="309"/>
      <c r="AA43" s="309"/>
      <c r="AB43" s="309"/>
    </row>
    <row r="44" spans="1:28" ht="16.5" thickBot="1">
      <c r="A44" s="264" t="s">
        <v>160</v>
      </c>
      <c r="B44" s="64"/>
      <c r="C44" s="1364"/>
      <c r="D44" s="1364"/>
      <c r="E44" s="242"/>
      <c r="F44" s="242"/>
      <c r="G44" s="242"/>
      <c r="H44" s="242"/>
      <c r="I44" s="242"/>
      <c r="J44" s="242"/>
      <c r="K44" s="242"/>
      <c r="L44" s="242"/>
      <c r="M44" s="243"/>
      <c r="N44" s="243"/>
      <c r="O44" s="243"/>
      <c r="P44" s="243"/>
      <c r="Q44" s="243"/>
      <c r="R44" s="243"/>
      <c r="S44" s="243"/>
      <c r="T44" s="243"/>
      <c r="U44" s="244">
        <v>0</v>
      </c>
      <c r="V44" s="244"/>
      <c r="W44" s="244"/>
      <c r="X44" s="244"/>
      <c r="Y44" s="244"/>
      <c r="Z44" s="244"/>
      <c r="AA44" s="244"/>
      <c r="AB44" s="244"/>
    </row>
    <row r="45" spans="1:36" ht="27.75" customHeight="1">
      <c r="A45" s="258" t="s">
        <v>29</v>
      </c>
      <c r="B45" s="1330" t="s">
        <v>507</v>
      </c>
      <c r="C45" s="1331"/>
      <c r="D45" s="1332"/>
      <c r="E45" s="278">
        <f>'1.sz.m-önk.össze.bev'!E60-'2.sz.m.összehasonlító'!B26</f>
        <v>128479128</v>
      </c>
      <c r="F45" s="278">
        <f>'1.sz.m-önk.össze.bev'!F60-'2.sz.m.összehasonlító'!C26</f>
        <v>128479128</v>
      </c>
      <c r="G45" s="278">
        <f>'1.sz.m-önk.össze.bev'!G60-'2.sz.m.összehasonlító'!D26</f>
        <v>118099679</v>
      </c>
      <c r="H45" s="278">
        <f>'1.sz.m-önk.össze.bev'!H60-'2.sz.m.összehasonlító'!E26</f>
        <v>81869946</v>
      </c>
      <c r="I45" s="278">
        <f>'1.sz.m-önk.össze.bev'!I60-'2.sz.m.összehasonlító'!F26</f>
        <v>81197758</v>
      </c>
      <c r="J45" s="278">
        <f>'1.sz.m-önk.össze.bev'!J60-'2.sz.m.összehasonlító'!G26</f>
        <v>81215684</v>
      </c>
      <c r="K45" s="278">
        <f>'1.sz.m-önk.össze.bev'!K60-'2.sz.m.összehasonlító'!H26</f>
        <v>81215684</v>
      </c>
      <c r="L45" s="278"/>
      <c r="M45" s="278">
        <f>'1.sz.m-önk.össze.bev'!M60-'2.sz.m.összehasonlító'!B26</f>
        <v>128479128</v>
      </c>
      <c r="N45" s="278">
        <f>'1.sz.m-önk.össze.bev'!N60-'2.sz.m.összehasonlító'!C26</f>
        <v>128479128</v>
      </c>
      <c r="O45" s="278">
        <f>'1.sz.m-önk.össze.bev'!O60-'2.sz.m.összehasonlító'!D26</f>
        <v>118099679</v>
      </c>
      <c r="P45" s="278">
        <f>'1.sz.m-önk.össze.bev'!P60-'2.sz.m.összehasonlító'!E26</f>
        <v>81869946</v>
      </c>
      <c r="Q45" s="278">
        <f>'1.sz.m-önk.össze.bev'!Q60-'2.sz.m.összehasonlító'!F26</f>
        <v>81197758</v>
      </c>
      <c r="R45" s="278">
        <f>'1.sz.m-önk.össze.bev'!R60-'2.sz.m.összehasonlító'!G26</f>
        <v>81215684</v>
      </c>
      <c r="S45" s="278">
        <f>'1.sz.m-önk.össze.bev'!S60-'2.sz.m.összehasonlító'!H26</f>
        <v>81215684</v>
      </c>
      <c r="T45" s="278"/>
      <c r="U45" s="278">
        <f>'1.sz.m-önk.össze.bev'!U60</f>
        <v>0</v>
      </c>
      <c r="V45" s="278">
        <f>'1.sz.m-önk.össze.bev'!V60</f>
        <v>0</v>
      </c>
      <c r="W45" s="278">
        <f>'1.sz.m-önk.össze.bev'!W60</f>
        <v>0</v>
      </c>
      <c r="X45" s="278">
        <f>'1.sz.m-önk.össze.bev'!X60</f>
        <v>0</v>
      </c>
      <c r="Y45" s="278">
        <f>'1.sz.m-önk.össze.bev'!Y60</f>
        <v>0</v>
      </c>
      <c r="Z45" s="278">
        <f>'1.sz.m-önk.össze.bev'!Z60</f>
        <v>0</v>
      </c>
      <c r="AA45" s="278"/>
      <c r="AB45" s="278"/>
      <c r="AC45" s="278">
        <f>'1.sz.m-önk.össze.bev'!AA60</f>
        <v>0</v>
      </c>
      <c r="AD45" s="278">
        <f>'1.sz.m-önk.össze.bev'!AB60</f>
        <v>0</v>
      </c>
      <c r="AE45" s="278">
        <f>'1.sz.m-önk.össze.bev'!AC60</f>
        <v>0</v>
      </c>
      <c r="AF45" s="278">
        <f>'1.sz.m-önk.össze.bev'!AD60</f>
        <v>0</v>
      </c>
      <c r="AG45" s="278">
        <f>'1.sz.m-önk.össze.bev'!AE60</f>
        <v>0</v>
      </c>
      <c r="AH45" s="278">
        <f>'1.sz.m-önk.össze.bev'!AF60</f>
        <v>0</v>
      </c>
      <c r="AI45" s="278"/>
      <c r="AJ45" s="278">
        <f>'1.sz.m-önk.össze.bev'!AG60</f>
        <v>0</v>
      </c>
    </row>
    <row r="46" spans="1:36" ht="27.75" customHeight="1">
      <c r="A46" s="259" t="s">
        <v>30</v>
      </c>
      <c r="B46" s="1349" t="s">
        <v>508</v>
      </c>
      <c r="C46" s="1350"/>
      <c r="D46" s="1351"/>
      <c r="E46" s="279">
        <f>'2.sz.m.összehasonlító'!B26</f>
        <v>10090000</v>
      </c>
      <c r="F46" s="279">
        <f>'2.sz.m.összehasonlító'!C26</f>
        <v>10090000</v>
      </c>
      <c r="G46" s="279">
        <f>'2.sz.m.összehasonlító'!D26</f>
        <v>20467005</v>
      </c>
      <c r="H46" s="279">
        <f>'2.sz.m.összehasonlító'!E26</f>
        <v>56696738</v>
      </c>
      <c r="I46" s="279">
        <f>'2.sz.m.összehasonlító'!F26</f>
        <v>57368926</v>
      </c>
      <c r="J46" s="279">
        <f>'2.sz.m.összehasonlító'!G26</f>
        <v>57351000</v>
      </c>
      <c r="K46" s="279">
        <f>'2.sz.m.összehasonlító'!H26</f>
        <v>57351000</v>
      </c>
      <c r="L46" s="279"/>
      <c r="M46" s="279">
        <f>'2.sz.m.összehasonlító'!B26</f>
        <v>10090000</v>
      </c>
      <c r="N46" s="279">
        <f>'2.sz.m.összehasonlító'!C26</f>
        <v>10090000</v>
      </c>
      <c r="O46" s="279">
        <f>'2.sz.m.összehasonlító'!D26</f>
        <v>20467005</v>
      </c>
      <c r="P46" s="279">
        <f>'2.sz.m.összehasonlító'!E26</f>
        <v>56696738</v>
      </c>
      <c r="Q46" s="279">
        <f>'2.sz.m.összehasonlító'!F26</f>
        <v>57368926</v>
      </c>
      <c r="R46" s="279">
        <f>'2.sz.m.összehasonlító'!G26</f>
        <v>57351000</v>
      </c>
      <c r="S46" s="279">
        <f>'2.sz.m.összehasonlító'!H26</f>
        <v>57351000</v>
      </c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</row>
    <row r="47" spans="1:36" ht="27.75" customHeight="1" thickBot="1">
      <c r="A47" s="260" t="s">
        <v>10</v>
      </c>
      <c r="B47" s="1365" t="s">
        <v>509</v>
      </c>
      <c r="C47" s="1366"/>
      <c r="D47" s="1367"/>
      <c r="E47" s="277">
        <f aca="true" t="shared" si="26" ref="E47:N47">E45+E46</f>
        <v>138569128</v>
      </c>
      <c r="F47" s="277">
        <f t="shared" si="26"/>
        <v>138569128</v>
      </c>
      <c r="G47" s="277">
        <f t="shared" si="26"/>
        <v>138566684</v>
      </c>
      <c r="H47" s="277">
        <f>H45+H46</f>
        <v>138566684</v>
      </c>
      <c r="I47" s="277">
        <f>I45+I46</f>
        <v>138566684</v>
      </c>
      <c r="J47" s="277">
        <f>J45+J46</f>
        <v>138566684</v>
      </c>
      <c r="K47" s="277">
        <f>K45+K46</f>
        <v>138566684</v>
      </c>
      <c r="L47" s="277"/>
      <c r="M47" s="277">
        <f t="shared" si="26"/>
        <v>138569128</v>
      </c>
      <c r="N47" s="277">
        <f t="shared" si="26"/>
        <v>138569128</v>
      </c>
      <c r="O47" s="277">
        <f aca="true" t="shared" si="27" ref="O47:AH47">O45+O46</f>
        <v>138566684</v>
      </c>
      <c r="P47" s="277">
        <f t="shared" si="27"/>
        <v>138566684</v>
      </c>
      <c r="Q47" s="277">
        <f>Q45+Q46</f>
        <v>138566684</v>
      </c>
      <c r="R47" s="277">
        <f>R45+R46</f>
        <v>138566684</v>
      </c>
      <c r="S47" s="277">
        <f>S45+S46</f>
        <v>138566684</v>
      </c>
      <c r="T47" s="277"/>
      <c r="U47" s="277">
        <f t="shared" si="27"/>
        <v>0</v>
      </c>
      <c r="V47" s="277">
        <f t="shared" si="27"/>
        <v>0</v>
      </c>
      <c r="W47" s="277">
        <f t="shared" si="27"/>
        <v>0</v>
      </c>
      <c r="X47" s="277">
        <f t="shared" si="27"/>
        <v>0</v>
      </c>
      <c r="Y47" s="277">
        <f t="shared" si="27"/>
        <v>0</v>
      </c>
      <c r="Z47" s="277">
        <f t="shared" si="27"/>
        <v>0</v>
      </c>
      <c r="AA47" s="277"/>
      <c r="AB47" s="277"/>
      <c r="AC47" s="277">
        <f t="shared" si="27"/>
        <v>0</v>
      </c>
      <c r="AD47" s="277">
        <f t="shared" si="27"/>
        <v>0</v>
      </c>
      <c r="AE47" s="277">
        <f t="shared" si="27"/>
        <v>0</v>
      </c>
      <c r="AF47" s="277">
        <f t="shared" si="27"/>
        <v>0</v>
      </c>
      <c r="AG47" s="277">
        <f t="shared" si="27"/>
        <v>0</v>
      </c>
      <c r="AH47" s="277">
        <f t="shared" si="27"/>
        <v>0</v>
      </c>
      <c r="AI47" s="277"/>
      <c r="AJ47" s="277">
        <f>AJ45+AJ46</f>
        <v>0</v>
      </c>
    </row>
    <row r="48" spans="1:29" ht="15.75">
      <c r="A48" s="123"/>
      <c r="B48" s="64"/>
      <c r="C48" s="247"/>
      <c r="D48" s="248"/>
      <c r="E48" s="249"/>
      <c r="F48" s="249"/>
      <c r="G48" s="249"/>
      <c r="H48" s="249"/>
      <c r="I48" s="249"/>
      <c r="J48" s="249"/>
      <c r="K48" s="249"/>
      <c r="L48" s="249"/>
      <c r="M48" s="243"/>
      <c r="N48" s="243"/>
      <c r="O48" s="243"/>
      <c r="P48" s="243"/>
      <c r="Q48" s="243"/>
      <c r="R48" s="243"/>
      <c r="S48" s="243"/>
      <c r="T48" s="243"/>
      <c r="U48" s="244"/>
      <c r="V48" s="244"/>
      <c r="W48" s="244"/>
      <c r="X48" s="244"/>
      <c r="Y48" s="244"/>
      <c r="Z48" s="244"/>
      <c r="AA48" s="244"/>
      <c r="AB48" s="244"/>
      <c r="AC48" s="1"/>
    </row>
    <row r="49" spans="1:28" ht="15.75" customHeight="1">
      <c r="A49" s="123"/>
      <c r="B49" s="64"/>
      <c r="C49" s="1359" t="s">
        <v>161</v>
      </c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309"/>
      <c r="W49" s="309"/>
      <c r="X49" s="309"/>
      <c r="Y49" s="309"/>
      <c r="Z49" s="309"/>
      <c r="AA49" s="309"/>
      <c r="AB49" s="309"/>
    </row>
    <row r="50" spans="1:28" ht="16.5" thickBot="1">
      <c r="A50" s="264" t="s">
        <v>162</v>
      </c>
      <c r="B50" s="264"/>
      <c r="C50" s="1338"/>
      <c r="D50" s="1338"/>
      <c r="E50" s="242"/>
      <c r="F50" s="242"/>
      <c r="G50" s="242"/>
      <c r="H50" s="242"/>
      <c r="I50" s="242"/>
      <c r="J50" s="242"/>
      <c r="K50" s="242"/>
      <c r="L50" s="242"/>
      <c r="M50" s="243"/>
      <c r="N50" s="243"/>
      <c r="O50" s="243"/>
      <c r="P50" s="243"/>
      <c r="Q50" s="243"/>
      <c r="R50" s="243"/>
      <c r="S50" s="243"/>
      <c r="T50" s="243"/>
      <c r="U50" s="244">
        <v>0</v>
      </c>
      <c r="V50" s="244"/>
      <c r="W50" s="244"/>
      <c r="X50" s="244"/>
      <c r="Y50" s="244"/>
      <c r="Z50" s="244"/>
      <c r="AA50" s="244"/>
      <c r="AB50" s="244"/>
    </row>
    <row r="51" spans="1:37" ht="27.75" customHeight="1">
      <c r="A51" s="258" t="s">
        <v>29</v>
      </c>
      <c r="B51" s="1330" t="s">
        <v>510</v>
      </c>
      <c r="C51" s="1331"/>
      <c r="D51" s="1332"/>
      <c r="E51" s="265">
        <v>0</v>
      </c>
      <c r="F51" s="265">
        <v>0</v>
      </c>
      <c r="G51" s="265">
        <v>0</v>
      </c>
      <c r="H51" s="265">
        <v>0</v>
      </c>
      <c r="I51" s="265">
        <v>0</v>
      </c>
      <c r="J51" s="265">
        <v>0</v>
      </c>
      <c r="K51" s="265">
        <v>0</v>
      </c>
      <c r="L51" s="265"/>
      <c r="M51" s="265">
        <v>0</v>
      </c>
      <c r="N51" s="265">
        <v>0</v>
      </c>
      <c r="O51" s="265">
        <v>0</v>
      </c>
      <c r="P51" s="265">
        <v>0</v>
      </c>
      <c r="Q51" s="265">
        <v>0</v>
      </c>
      <c r="R51" s="265">
        <v>0</v>
      </c>
      <c r="S51" s="265">
        <v>0</v>
      </c>
      <c r="T51" s="265"/>
      <c r="U51" s="265">
        <v>0</v>
      </c>
      <c r="V51" s="265">
        <v>0</v>
      </c>
      <c r="W51" s="265">
        <v>0</v>
      </c>
      <c r="X51" s="265">
        <v>0</v>
      </c>
      <c r="Y51" s="265">
        <v>0</v>
      </c>
      <c r="Z51" s="265">
        <v>0</v>
      </c>
      <c r="AA51" s="265"/>
      <c r="AB51" s="265"/>
      <c r="AC51" s="265">
        <v>0</v>
      </c>
      <c r="AD51" s="265">
        <v>0</v>
      </c>
      <c r="AE51" s="265">
        <v>0</v>
      </c>
      <c r="AF51" s="265">
        <v>0</v>
      </c>
      <c r="AG51" s="265">
        <v>0</v>
      </c>
      <c r="AH51" s="265">
        <v>0</v>
      </c>
      <c r="AI51" s="265"/>
      <c r="AJ51" s="265"/>
      <c r="AK51" s="265">
        <v>0</v>
      </c>
    </row>
    <row r="52" spans="1:37" ht="27.75" customHeight="1">
      <c r="A52" s="259" t="s">
        <v>30</v>
      </c>
      <c r="B52" s="1349" t="s">
        <v>511</v>
      </c>
      <c r="C52" s="1350"/>
      <c r="D52" s="1351"/>
      <c r="E52" s="266">
        <f>'1.sz.m-önk.össze.bev'!E58</f>
        <v>12000000</v>
      </c>
      <c r="F52" s="266">
        <f>'1.sz.m-önk.össze.bev'!F58</f>
        <v>12000000</v>
      </c>
      <c r="G52" s="266">
        <f>'1.sz.m-önk.össze.bev'!G58</f>
        <v>8315281</v>
      </c>
      <c r="H52" s="266">
        <f>'1.sz.m-önk.össze.bev'!H58</f>
        <v>8315281</v>
      </c>
      <c r="I52" s="266">
        <f>'1.sz.m-önk.össze.bev'!I58</f>
        <v>8315281</v>
      </c>
      <c r="J52" s="266">
        <f>'1.sz.m-önk.össze.bev'!J58</f>
        <v>8315281</v>
      </c>
      <c r="K52" s="266">
        <f>'1.sz.m-önk.össze.bev'!K58</f>
        <v>8315281</v>
      </c>
      <c r="L52" s="266"/>
      <c r="M52" s="266">
        <f>'1.sz.m-önk.össze.bev'!M58</f>
        <v>12000000</v>
      </c>
      <c r="N52" s="266">
        <f>'1.sz.m-önk.össze.bev'!N58</f>
        <v>12000000</v>
      </c>
      <c r="O52" s="266">
        <f>'1.sz.m-önk.össze.bev'!O58</f>
        <v>8315281</v>
      </c>
      <c r="P52" s="266">
        <f>'1.sz.m-önk.össze.bev'!P58</f>
        <v>8315281</v>
      </c>
      <c r="Q52" s="266">
        <f>'1.sz.m-önk.össze.bev'!Q58</f>
        <v>8315281</v>
      </c>
      <c r="R52" s="266">
        <f>'1.sz.m-önk.össze.bev'!R58</f>
        <v>8315281</v>
      </c>
      <c r="S52" s="266">
        <f>'1.sz.m-önk.össze.bev'!S58</f>
        <v>8315281</v>
      </c>
      <c r="T52" s="266"/>
      <c r="U52" s="266">
        <f>'1.sz.m-önk.össze.bev'!U58</f>
        <v>0</v>
      </c>
      <c r="V52" s="266">
        <f>'1.sz.m-önk.össze.bev'!V58</f>
        <v>0</v>
      </c>
      <c r="W52" s="266">
        <f>'1.sz.m-önk.össze.bev'!W58</f>
        <v>0</v>
      </c>
      <c r="X52" s="266">
        <f>'1.sz.m-önk.össze.bev'!X58</f>
        <v>0</v>
      </c>
      <c r="Y52" s="266">
        <f>'1.sz.m-önk.össze.bev'!Y58</f>
        <v>0</v>
      </c>
      <c r="Z52" s="266">
        <f>'1.sz.m-önk.össze.bev'!Z58</f>
        <v>0</v>
      </c>
      <c r="AA52" s="266"/>
      <c r="AB52" s="266"/>
      <c r="AC52" s="266">
        <f>'1.sz.m-önk.össze.bev'!AA58</f>
        <v>0</v>
      </c>
      <c r="AD52" s="266">
        <f>'1.sz.m-önk.össze.bev'!AB58</f>
        <v>0</v>
      </c>
      <c r="AE52" s="266">
        <f>'1.sz.m-önk.össze.bev'!AC58</f>
        <v>0</v>
      </c>
      <c r="AF52" s="266">
        <f>'1.sz.m-önk.össze.bev'!AD58</f>
        <v>0</v>
      </c>
      <c r="AG52" s="266">
        <f>'1.sz.m-önk.össze.bev'!AE58</f>
        <v>0</v>
      </c>
      <c r="AH52" s="266">
        <f>'1.sz.m-önk.össze.bev'!AF58</f>
        <v>0</v>
      </c>
      <c r="AI52" s="266"/>
      <c r="AJ52" s="266"/>
      <c r="AK52" s="266">
        <f>'1.sz.m-önk.össze.bev'!AH58</f>
        <v>0</v>
      </c>
    </row>
    <row r="53" spans="1:37" ht="27.75" customHeight="1" thickBot="1">
      <c r="A53" s="260" t="s">
        <v>10</v>
      </c>
      <c r="B53" s="1352" t="s">
        <v>512</v>
      </c>
      <c r="C53" s="1353"/>
      <c r="D53" s="1354"/>
      <c r="E53" s="267">
        <f aca="true" t="shared" si="28" ref="E53:J53">E51+E52</f>
        <v>12000000</v>
      </c>
      <c r="F53" s="267">
        <f t="shared" si="28"/>
        <v>12000000</v>
      </c>
      <c r="G53" s="267">
        <f t="shared" si="28"/>
        <v>8315281</v>
      </c>
      <c r="H53" s="267">
        <f t="shared" si="28"/>
        <v>8315281</v>
      </c>
      <c r="I53" s="267">
        <f t="shared" si="28"/>
        <v>8315281</v>
      </c>
      <c r="J53" s="267">
        <f t="shared" si="28"/>
        <v>8315281</v>
      </c>
      <c r="K53" s="267">
        <f>K51+K52</f>
        <v>8315281</v>
      </c>
      <c r="L53" s="267"/>
      <c r="M53" s="267">
        <f aca="true" t="shared" si="29" ref="M53:AK53">M51+M52</f>
        <v>12000000</v>
      </c>
      <c r="N53" s="267">
        <f t="shared" si="29"/>
        <v>12000000</v>
      </c>
      <c r="O53" s="267">
        <f t="shared" si="29"/>
        <v>8315281</v>
      </c>
      <c r="P53" s="267">
        <f t="shared" si="29"/>
        <v>8315281</v>
      </c>
      <c r="Q53" s="267">
        <f t="shared" si="29"/>
        <v>8315281</v>
      </c>
      <c r="R53" s="267">
        <f>R51+R52</f>
        <v>8315281</v>
      </c>
      <c r="S53" s="267">
        <f>S51+S52</f>
        <v>8315281</v>
      </c>
      <c r="T53" s="267"/>
      <c r="U53" s="267">
        <f t="shared" si="29"/>
        <v>0</v>
      </c>
      <c r="V53" s="267">
        <f t="shared" si="29"/>
        <v>0</v>
      </c>
      <c r="W53" s="267">
        <f t="shared" si="29"/>
        <v>0</v>
      </c>
      <c r="X53" s="267">
        <f t="shared" si="29"/>
        <v>0</v>
      </c>
      <c r="Y53" s="267">
        <f t="shared" si="29"/>
        <v>0</v>
      </c>
      <c r="Z53" s="267">
        <f t="shared" si="29"/>
        <v>0</v>
      </c>
      <c r="AA53" s="267"/>
      <c r="AB53" s="267"/>
      <c r="AC53" s="267">
        <f t="shared" si="29"/>
        <v>0</v>
      </c>
      <c r="AD53" s="267">
        <f t="shared" si="29"/>
        <v>0</v>
      </c>
      <c r="AE53" s="267">
        <f t="shared" si="29"/>
        <v>0</v>
      </c>
      <c r="AF53" s="267">
        <f t="shared" si="29"/>
        <v>0</v>
      </c>
      <c r="AG53" s="267">
        <f t="shared" si="29"/>
        <v>0</v>
      </c>
      <c r="AH53" s="267">
        <f t="shared" si="29"/>
        <v>0</v>
      </c>
      <c r="AI53" s="267"/>
      <c r="AJ53" s="267"/>
      <c r="AK53" s="267">
        <f t="shared" si="29"/>
        <v>0</v>
      </c>
    </row>
    <row r="54" spans="1:33" ht="15.75">
      <c r="A54" s="123"/>
      <c r="B54" s="64"/>
      <c r="C54" s="247"/>
      <c r="D54" s="248"/>
      <c r="E54" s="249"/>
      <c r="F54" s="249"/>
      <c r="G54" s="249"/>
      <c r="H54" s="249"/>
      <c r="I54" s="249"/>
      <c r="J54" s="249"/>
      <c r="K54" s="249"/>
      <c r="L54" s="249"/>
      <c r="M54" s="243"/>
      <c r="N54" s="243"/>
      <c r="O54" s="243"/>
      <c r="P54" s="243"/>
      <c r="Q54" s="243"/>
      <c r="R54" s="243"/>
      <c r="S54" s="243"/>
      <c r="T54" s="243"/>
      <c r="U54" s="244"/>
      <c r="V54" s="244"/>
      <c r="W54" s="244"/>
      <c r="X54" s="244"/>
      <c r="Y54" s="244"/>
      <c r="Z54" s="244"/>
      <c r="AA54" s="244"/>
      <c r="AB54" s="244"/>
      <c r="AG54" s="80"/>
    </row>
    <row r="55" spans="1:29" ht="15.75" customHeight="1">
      <c r="A55" s="123"/>
      <c r="B55" s="64"/>
      <c r="C55" s="1358" t="s">
        <v>57</v>
      </c>
      <c r="D55" s="1358"/>
      <c r="E55" s="1358"/>
      <c r="F55" s="1358"/>
      <c r="G55" s="1358"/>
      <c r="H55" s="1358"/>
      <c r="I55" s="1358"/>
      <c r="J55" s="1358"/>
      <c r="K55" s="1358"/>
      <c r="L55" s="1358"/>
      <c r="M55" s="1358"/>
      <c r="N55" s="1358"/>
      <c r="O55" s="1358"/>
      <c r="P55" s="1358"/>
      <c r="Q55" s="1358"/>
      <c r="R55" s="1358"/>
      <c r="S55" s="1358"/>
      <c r="T55" s="1358"/>
      <c r="U55" s="1359"/>
      <c r="V55" s="309"/>
      <c r="W55" s="309"/>
      <c r="X55" s="309"/>
      <c r="Y55" s="309"/>
      <c r="Z55" s="309"/>
      <c r="AA55" s="309"/>
      <c r="AB55" s="309"/>
      <c r="AC55" s="139"/>
    </row>
    <row r="56" spans="1:28" ht="15.75">
      <c r="A56" s="123"/>
      <c r="B56" s="64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1"/>
      <c r="N56" s="251"/>
      <c r="O56" s="251"/>
      <c r="P56" s="251"/>
      <c r="Q56" s="251"/>
      <c r="R56" s="251"/>
      <c r="S56" s="251"/>
      <c r="T56" s="251"/>
      <c r="U56" s="252"/>
      <c r="V56" s="252"/>
      <c r="W56" s="252"/>
      <c r="X56" s="252"/>
      <c r="Y56" s="252"/>
      <c r="Z56" s="252"/>
      <c r="AA56" s="252"/>
      <c r="AB56" s="252"/>
    </row>
    <row r="57" spans="1:28" ht="16.5" thickBot="1">
      <c r="A57" s="264" t="s">
        <v>199</v>
      </c>
      <c r="C57" s="1360"/>
      <c r="D57" s="1360"/>
      <c r="E57" s="250"/>
      <c r="F57" s="250"/>
      <c r="G57" s="250"/>
      <c r="H57" s="250"/>
      <c r="I57" s="250"/>
      <c r="J57" s="250"/>
      <c r="K57" s="250"/>
      <c r="L57" s="250"/>
      <c r="M57" s="251"/>
      <c r="N57" s="251"/>
      <c r="O57" s="251"/>
      <c r="P57" s="251"/>
      <c r="Q57" s="251"/>
      <c r="R57" s="251"/>
      <c r="S57" s="251"/>
      <c r="T57" s="251"/>
      <c r="U57" s="252"/>
      <c r="V57" s="252"/>
      <c r="W57" s="252"/>
      <c r="X57" s="252"/>
      <c r="Y57" s="252"/>
      <c r="Z57" s="252"/>
      <c r="AA57" s="252"/>
      <c r="AB57" s="252"/>
    </row>
    <row r="58" spans="1:36" ht="27" customHeight="1">
      <c r="A58" s="271" t="s">
        <v>29</v>
      </c>
      <c r="B58" s="1355" t="s">
        <v>163</v>
      </c>
      <c r="C58" s="1355"/>
      <c r="D58" s="1355"/>
      <c r="E58" s="272">
        <f>E59-E62</f>
        <v>141604907</v>
      </c>
      <c r="F58" s="272">
        <f>F59-F62</f>
        <v>112834907</v>
      </c>
      <c r="G58" s="272">
        <f>G59-G62</f>
        <v>109147744</v>
      </c>
      <c r="H58" s="272">
        <f>H59-H62</f>
        <v>108391809</v>
      </c>
      <c r="I58" s="272">
        <f>I59-I62</f>
        <v>108391809</v>
      </c>
      <c r="J58" s="272">
        <f aca="true" t="shared" si="30" ref="J58:AH58">J59-J62</f>
        <v>116514228</v>
      </c>
      <c r="K58" s="272">
        <f>K59-K62</f>
        <v>117270163</v>
      </c>
      <c r="L58" s="272"/>
      <c r="M58" s="272">
        <f t="shared" si="30"/>
        <v>141604907</v>
      </c>
      <c r="N58" s="272">
        <f t="shared" si="30"/>
        <v>112834907</v>
      </c>
      <c r="O58" s="272">
        <f t="shared" si="30"/>
        <v>109147744</v>
      </c>
      <c r="P58" s="272">
        <f>P59-P62</f>
        <v>108391809</v>
      </c>
      <c r="Q58" s="272">
        <f>Q59-Q62</f>
        <v>108391809</v>
      </c>
      <c r="R58" s="272">
        <f>R59-R62</f>
        <v>116514228</v>
      </c>
      <c r="S58" s="272">
        <f>S59-S62</f>
        <v>117270163</v>
      </c>
      <c r="T58" s="272"/>
      <c r="U58" s="272">
        <f t="shared" si="30"/>
        <v>0</v>
      </c>
      <c r="V58" s="272">
        <f t="shared" si="30"/>
        <v>0</v>
      </c>
      <c r="W58" s="272">
        <f t="shared" si="30"/>
        <v>0</v>
      </c>
      <c r="X58" s="272">
        <f t="shared" si="30"/>
        <v>0</v>
      </c>
      <c r="Y58" s="272">
        <f t="shared" si="30"/>
        <v>0</v>
      </c>
      <c r="Z58" s="272">
        <f t="shared" si="30"/>
        <v>0</v>
      </c>
      <c r="AA58" s="272"/>
      <c r="AB58" s="272"/>
      <c r="AC58" s="272">
        <f t="shared" si="30"/>
        <v>0</v>
      </c>
      <c r="AD58" s="272">
        <f t="shared" si="30"/>
        <v>0</v>
      </c>
      <c r="AE58" s="272">
        <f t="shared" si="30"/>
        <v>0</v>
      </c>
      <c r="AF58" s="272">
        <f t="shared" si="30"/>
        <v>0</v>
      </c>
      <c r="AG58" s="272">
        <f t="shared" si="30"/>
        <v>0</v>
      </c>
      <c r="AH58" s="272">
        <f t="shared" si="30"/>
        <v>0</v>
      </c>
      <c r="AI58" s="272"/>
      <c r="AJ58" s="272"/>
    </row>
    <row r="59" spans="1:36" ht="27" customHeight="1">
      <c r="A59" s="268" t="s">
        <v>164</v>
      </c>
      <c r="B59" s="1356" t="s">
        <v>535</v>
      </c>
      <c r="C59" s="1356"/>
      <c r="D59" s="1356"/>
      <c r="E59" s="273">
        <f>'1.sz.m-önk.össze.bev'!E57</f>
        <v>150569128</v>
      </c>
      <c r="F59" s="273">
        <f>'1.sz.m-önk.össze.bev'!F57</f>
        <v>150569128</v>
      </c>
      <c r="G59" s="273">
        <f>'1.sz.m-önk.össze.bev'!G57</f>
        <v>146881965</v>
      </c>
      <c r="H59" s="273">
        <f>'1.sz.m-önk.össze.bev'!H57</f>
        <v>146881965</v>
      </c>
      <c r="I59" s="273">
        <f>'1.sz.m-önk.össze.bev'!I57</f>
        <v>146881965</v>
      </c>
      <c r="J59" s="273">
        <f>'1.sz.m-önk.össze.bev'!J57</f>
        <v>155004384</v>
      </c>
      <c r="K59" s="273">
        <f>'1.sz.m-önk.össze.bev'!K57</f>
        <v>155004384</v>
      </c>
      <c r="L59" s="273"/>
      <c r="M59" s="273">
        <f>'1.sz.m-önk.össze.bev'!M57</f>
        <v>150569128</v>
      </c>
      <c r="N59" s="273">
        <f>'1.sz.m-önk.össze.bev'!N57</f>
        <v>150569128</v>
      </c>
      <c r="O59" s="273">
        <f>'1.sz.m-önk.össze.bev'!O57</f>
        <v>146881965</v>
      </c>
      <c r="P59" s="273">
        <f>'1.sz.m-önk.össze.bev'!P57</f>
        <v>146881965</v>
      </c>
      <c r="Q59" s="273">
        <f>'1.sz.m-önk.össze.bev'!Q57</f>
        <v>146881965</v>
      </c>
      <c r="R59" s="273">
        <f>'1.sz.m-önk.össze.bev'!R57</f>
        <v>155004384</v>
      </c>
      <c r="S59" s="273">
        <f>'1.sz.m-önk.össze.bev'!S57</f>
        <v>155004384</v>
      </c>
      <c r="T59" s="273"/>
      <c r="U59" s="273">
        <f>'1.sz.m-önk.össze.bev'!U57</f>
        <v>0</v>
      </c>
      <c r="V59" s="273">
        <f>'1.sz.m-önk.össze.bev'!V57</f>
        <v>0</v>
      </c>
      <c r="W59" s="273">
        <f>'1.sz.m-önk.össze.bev'!W57</f>
        <v>0</v>
      </c>
      <c r="X59" s="273">
        <f>'1.sz.m-önk.össze.bev'!X57</f>
        <v>0</v>
      </c>
      <c r="Y59" s="273">
        <f>'1.sz.m-önk.össze.bev'!Y57</f>
        <v>0</v>
      </c>
      <c r="Z59" s="273">
        <f>'1.sz.m-önk.össze.bev'!Z57</f>
        <v>0</v>
      </c>
      <c r="AA59" s="273"/>
      <c r="AB59" s="273"/>
      <c r="AC59" s="273">
        <f>'1.sz.m-önk.össze.bev'!AA57</f>
        <v>0</v>
      </c>
      <c r="AD59" s="273">
        <f>'1.sz.m-önk.össze.bev'!AB57</f>
        <v>0</v>
      </c>
      <c r="AE59" s="273">
        <f>'1.sz.m-önk.össze.bev'!AC57</f>
        <v>0</v>
      </c>
      <c r="AF59" s="273">
        <f>'1.sz.m-önk.össze.bev'!AD57</f>
        <v>0</v>
      </c>
      <c r="AG59" s="273">
        <f>'1.sz.m-önk.össze.bev'!AE57</f>
        <v>0</v>
      </c>
      <c r="AH59" s="273">
        <f>'1.sz.m-önk.össze.bev'!AF57</f>
        <v>0</v>
      </c>
      <c r="AI59" s="273"/>
      <c r="AJ59" s="273"/>
    </row>
    <row r="60" spans="1:36" ht="27" customHeight="1">
      <c r="A60" s="268" t="s">
        <v>165</v>
      </c>
      <c r="B60" s="1357" t="s">
        <v>206</v>
      </c>
      <c r="C60" s="1357"/>
      <c r="D60" s="1357"/>
      <c r="E60" s="273">
        <f>'1.sz.m-önk.össze.bev'!E60-'2.sz.m.összehasonlító'!B26</f>
        <v>128479128</v>
      </c>
      <c r="F60" s="273">
        <f>'1.sz.m-önk.össze.bev'!F60-'2.sz.m.összehasonlító'!C26</f>
        <v>128479128</v>
      </c>
      <c r="G60" s="273">
        <f>'1.sz.m-önk.össze.bev'!G60-'2.sz.m.összehasonlító'!D26</f>
        <v>118099679</v>
      </c>
      <c r="H60" s="273">
        <f>'1.sz.m-önk.össze.bev'!H60-'2.sz.m.összehasonlító'!E26</f>
        <v>81869946</v>
      </c>
      <c r="I60" s="273">
        <f>'1.sz.m-önk.össze.bev'!I60-'2.sz.m.összehasonlító'!F26</f>
        <v>81197758</v>
      </c>
      <c r="J60" s="273">
        <f>'1.sz.m-önk.össze.bev'!J60-'2.sz.m.összehasonlító'!G26</f>
        <v>81215684</v>
      </c>
      <c r="K60" s="273">
        <f>'1.sz.m-önk.össze.bev'!K60-'2.sz.m.összehasonlító'!H26</f>
        <v>81215684</v>
      </c>
      <c r="L60" s="273"/>
      <c r="M60" s="273">
        <f>'1.sz.m-önk.össze.bev'!M60-'2.sz.m.összehasonlító'!B26</f>
        <v>128479128</v>
      </c>
      <c r="N60" s="273">
        <f>'1.sz.m-önk.össze.bev'!N60-'2.sz.m.összehasonlító'!C26</f>
        <v>128479128</v>
      </c>
      <c r="O60" s="273">
        <f>'1.sz.m-önk.össze.bev'!O60</f>
        <v>138566684</v>
      </c>
      <c r="P60" s="273">
        <f>'1.sz.m-önk.össze.bev'!P60</f>
        <v>138566684</v>
      </c>
      <c r="Q60" s="273">
        <f>'1.sz.m-önk.össze.bev'!Q60</f>
        <v>138566684</v>
      </c>
      <c r="R60" s="273">
        <f>'1.sz.m-önk.össze.bev'!R60</f>
        <v>138566684</v>
      </c>
      <c r="S60" s="273">
        <f>'1.sz.m-önk.össze.bev'!S60</f>
        <v>138566684</v>
      </c>
      <c r="T60" s="273"/>
      <c r="U60" s="273">
        <f>'1.sz.m-önk.össze.bev'!U60</f>
        <v>0</v>
      </c>
      <c r="V60" s="273">
        <f>'1.sz.m-önk.össze.bev'!V60</f>
        <v>0</v>
      </c>
      <c r="W60" s="273">
        <f>'1.sz.m-önk.össze.bev'!W60</f>
        <v>0</v>
      </c>
      <c r="X60" s="273">
        <f>'1.sz.m-önk.össze.bev'!X60</f>
        <v>0</v>
      </c>
      <c r="Y60" s="273">
        <f>'1.sz.m-önk.össze.bev'!Y60</f>
        <v>0</v>
      </c>
      <c r="Z60" s="273">
        <f>'1.sz.m-önk.össze.bev'!Z60</f>
        <v>0</v>
      </c>
      <c r="AA60" s="273"/>
      <c r="AB60" s="273"/>
      <c r="AC60" s="273">
        <f>'1.sz.m-önk.össze.bev'!AA60</f>
        <v>0</v>
      </c>
      <c r="AD60" s="273">
        <f>'1.sz.m-önk.össze.bev'!AB60</f>
        <v>0</v>
      </c>
      <c r="AE60" s="273">
        <f>'1.sz.m-önk.össze.bev'!AC60</f>
        <v>0</v>
      </c>
      <c r="AF60" s="273">
        <f>'1.sz.m-önk.össze.bev'!AD60</f>
        <v>0</v>
      </c>
      <c r="AG60" s="273">
        <f>'1.sz.m-önk.össze.bev'!AE60</f>
        <v>0</v>
      </c>
      <c r="AH60" s="273">
        <f>'1.sz.m-önk.össze.bev'!AF60</f>
        <v>0</v>
      </c>
      <c r="AI60" s="273"/>
      <c r="AJ60" s="273"/>
    </row>
    <row r="61" spans="1:36" ht="27" customHeight="1">
      <c r="A61" s="269" t="s">
        <v>166</v>
      </c>
      <c r="B61" s="1357" t="s">
        <v>207</v>
      </c>
      <c r="C61" s="1357"/>
      <c r="D61" s="1357"/>
      <c r="E61" s="273">
        <f>'1.sz.m-önk.össze.bev'!E58+'2.sz.m.összehasonlító'!B26</f>
        <v>22090000</v>
      </c>
      <c r="F61" s="273">
        <f>'1.sz.m-önk.össze.bev'!F58+'2.sz.m.összehasonlító'!C26</f>
        <v>22090000</v>
      </c>
      <c r="G61" s="273">
        <f>'1.sz.m-önk.össze.bev'!G58+'2.sz.m.összehasonlító'!D26</f>
        <v>28782286</v>
      </c>
      <c r="H61" s="273">
        <f>'1.sz.m-önk.össze.bev'!H58+'2.sz.m.összehasonlító'!E26</f>
        <v>65012019</v>
      </c>
      <c r="I61" s="273">
        <f>'1.sz.m-önk.össze.bev'!I58+'2.sz.m.összehasonlító'!F26</f>
        <v>65684207</v>
      </c>
      <c r="J61" s="273">
        <f>'1.sz.m-önk.össze.bev'!J58+'2.sz.m.összehasonlító'!G26</f>
        <v>65666281</v>
      </c>
      <c r="K61" s="273">
        <f>'1.sz.m-önk.össze.bev'!K58+'2.sz.m.összehasonlító'!H26</f>
        <v>65666281</v>
      </c>
      <c r="L61" s="273"/>
      <c r="M61" s="273">
        <f>'1.sz.m-önk.össze.bev'!M58+'2.sz.m.összehasonlító'!B26</f>
        <v>22090000</v>
      </c>
      <c r="N61" s="273">
        <f>'1.sz.m-önk.össze.bev'!N58+'2.sz.m.összehasonlító'!C26</f>
        <v>22090000</v>
      </c>
      <c r="O61" s="273">
        <f>'1.sz.m-önk.össze.bev'!O58</f>
        <v>8315281</v>
      </c>
      <c r="P61" s="273">
        <f>'1.sz.m-önk.össze.bev'!P58</f>
        <v>8315281</v>
      </c>
      <c r="Q61" s="273">
        <f>'1.sz.m-önk.össze.bev'!Q58</f>
        <v>8315281</v>
      </c>
      <c r="R61" s="273">
        <f>'1.sz.m-önk.össze.bev'!R58</f>
        <v>8315281</v>
      </c>
      <c r="S61" s="273">
        <f>'1.sz.m-önk.össze.bev'!S58</f>
        <v>8315281</v>
      </c>
      <c r="T61" s="273"/>
      <c r="U61" s="273">
        <f>'1.sz.m-önk.össze.bev'!U58</f>
        <v>0</v>
      </c>
      <c r="V61" s="273">
        <f>'1.sz.m-önk.össze.bev'!V58</f>
        <v>0</v>
      </c>
      <c r="W61" s="273">
        <f>'1.sz.m-önk.össze.bev'!W58</f>
        <v>0</v>
      </c>
      <c r="X61" s="273">
        <f>'1.sz.m-önk.össze.bev'!X58</f>
        <v>0</v>
      </c>
      <c r="Y61" s="273">
        <f>'1.sz.m-önk.össze.bev'!Y58</f>
        <v>0</v>
      </c>
      <c r="Z61" s="273">
        <f>'1.sz.m-önk.össze.bev'!Z58</f>
        <v>0</v>
      </c>
      <c r="AA61" s="273"/>
      <c r="AB61" s="273"/>
      <c r="AC61" s="273">
        <f>'1.sz.m-önk.össze.bev'!AA58</f>
        <v>0</v>
      </c>
      <c r="AD61" s="273">
        <f>'1.sz.m-önk.össze.bev'!AB58</f>
        <v>0</v>
      </c>
      <c r="AE61" s="273">
        <f>'1.sz.m-önk.össze.bev'!AC58</f>
        <v>0</v>
      </c>
      <c r="AF61" s="273">
        <f>'1.sz.m-önk.össze.bev'!AD58</f>
        <v>0</v>
      </c>
      <c r="AG61" s="273">
        <f>'1.sz.m-önk.össze.bev'!AE58</f>
        <v>0</v>
      </c>
      <c r="AH61" s="273">
        <f>'1.sz.m-önk.össze.bev'!AF58</f>
        <v>0</v>
      </c>
      <c r="AI61" s="273"/>
      <c r="AJ61" s="273"/>
    </row>
    <row r="62" spans="1:36" ht="27" customHeight="1">
      <c r="A62" s="270" t="s">
        <v>167</v>
      </c>
      <c r="B62" s="1356" t="s">
        <v>536</v>
      </c>
      <c r="C62" s="1356"/>
      <c r="D62" s="1356"/>
      <c r="E62" s="274">
        <f>E30</f>
        <v>8964221</v>
      </c>
      <c r="F62" s="274">
        <f>F30</f>
        <v>37734221</v>
      </c>
      <c r="G62" s="274">
        <f>G30</f>
        <v>37734221</v>
      </c>
      <c r="H62" s="274">
        <f>H30</f>
        <v>38490156</v>
      </c>
      <c r="I62" s="274">
        <f>I30</f>
        <v>38490156</v>
      </c>
      <c r="J62" s="274">
        <f aca="true" t="shared" si="31" ref="J62:AH62">J30</f>
        <v>38490156</v>
      </c>
      <c r="K62" s="274">
        <f>K30</f>
        <v>37734221</v>
      </c>
      <c r="L62" s="274"/>
      <c r="M62" s="274">
        <f t="shared" si="31"/>
        <v>8964221</v>
      </c>
      <c r="N62" s="274">
        <f t="shared" si="31"/>
        <v>37734221</v>
      </c>
      <c r="O62" s="274">
        <f t="shared" si="31"/>
        <v>37734221</v>
      </c>
      <c r="P62" s="274">
        <f>P30</f>
        <v>38490156</v>
      </c>
      <c r="Q62" s="274">
        <f>Q30</f>
        <v>38490156</v>
      </c>
      <c r="R62" s="274">
        <f>R30</f>
        <v>38490156</v>
      </c>
      <c r="S62" s="274">
        <f>S30</f>
        <v>37734221</v>
      </c>
      <c r="T62" s="274"/>
      <c r="U62" s="274">
        <f t="shared" si="31"/>
        <v>0</v>
      </c>
      <c r="V62" s="274">
        <f t="shared" si="31"/>
        <v>0</v>
      </c>
      <c r="W62" s="274">
        <f t="shared" si="31"/>
        <v>0</v>
      </c>
      <c r="X62" s="274">
        <f t="shared" si="31"/>
        <v>0</v>
      </c>
      <c r="Y62" s="274">
        <f t="shared" si="31"/>
        <v>0</v>
      </c>
      <c r="Z62" s="274">
        <f t="shared" si="31"/>
        <v>0</v>
      </c>
      <c r="AA62" s="274"/>
      <c r="AB62" s="274"/>
      <c r="AC62" s="274">
        <f t="shared" si="31"/>
        <v>0</v>
      </c>
      <c r="AD62" s="274">
        <f t="shared" si="31"/>
        <v>0</v>
      </c>
      <c r="AE62" s="274">
        <f t="shared" si="31"/>
        <v>0</v>
      </c>
      <c r="AF62" s="274">
        <f t="shared" si="31"/>
        <v>0</v>
      </c>
      <c r="AG62" s="274">
        <f t="shared" si="31"/>
        <v>0</v>
      </c>
      <c r="AH62" s="274">
        <f t="shared" si="31"/>
        <v>0</v>
      </c>
      <c r="AI62" s="274"/>
      <c r="AJ62" s="274"/>
    </row>
    <row r="63" spans="1:36" ht="27" customHeight="1">
      <c r="A63" s="268" t="s">
        <v>168</v>
      </c>
      <c r="B63" s="1357" t="s">
        <v>208</v>
      </c>
      <c r="C63" s="1357"/>
      <c r="D63" s="1357"/>
      <c r="E63" s="273">
        <v>0</v>
      </c>
      <c r="F63" s="273">
        <f aca="true" t="shared" si="32" ref="F63:K63">F62</f>
        <v>37734221</v>
      </c>
      <c r="G63" s="273">
        <f t="shared" si="32"/>
        <v>37734221</v>
      </c>
      <c r="H63" s="273">
        <f t="shared" si="32"/>
        <v>38490156</v>
      </c>
      <c r="I63" s="273">
        <f t="shared" si="32"/>
        <v>38490156</v>
      </c>
      <c r="J63" s="273">
        <f t="shared" si="32"/>
        <v>38490156</v>
      </c>
      <c r="K63" s="273">
        <f t="shared" si="32"/>
        <v>37734221</v>
      </c>
      <c r="L63" s="273"/>
      <c r="M63" s="273">
        <v>0</v>
      </c>
      <c r="N63" s="273">
        <f aca="true" t="shared" si="33" ref="N63:S63">N62</f>
        <v>37734221</v>
      </c>
      <c r="O63" s="273">
        <f t="shared" si="33"/>
        <v>37734221</v>
      </c>
      <c r="P63" s="273">
        <f t="shared" si="33"/>
        <v>38490156</v>
      </c>
      <c r="Q63" s="273">
        <f t="shared" si="33"/>
        <v>38490156</v>
      </c>
      <c r="R63" s="273">
        <f t="shared" si="33"/>
        <v>38490156</v>
      </c>
      <c r="S63" s="273">
        <f t="shared" si="33"/>
        <v>37734221</v>
      </c>
      <c r="T63" s="273"/>
      <c r="U63" s="273">
        <v>0</v>
      </c>
      <c r="V63" s="273">
        <v>0</v>
      </c>
      <c r="W63" s="273">
        <v>0</v>
      </c>
      <c r="X63" s="273">
        <v>0</v>
      </c>
      <c r="Y63" s="273">
        <v>0</v>
      </c>
      <c r="Z63" s="273">
        <v>0</v>
      </c>
      <c r="AA63" s="273"/>
      <c r="AB63" s="273"/>
      <c r="AC63" s="273">
        <v>0</v>
      </c>
      <c r="AD63" s="273">
        <v>0</v>
      </c>
      <c r="AE63" s="273">
        <v>0</v>
      </c>
      <c r="AF63" s="273">
        <v>0</v>
      </c>
      <c r="AG63" s="273">
        <v>0</v>
      </c>
      <c r="AH63" s="273">
        <v>0</v>
      </c>
      <c r="AI63" s="273"/>
      <c r="AJ63" s="273"/>
    </row>
    <row r="64" spans="1:36" ht="27" customHeight="1" thickBot="1">
      <c r="A64" s="275" t="s">
        <v>169</v>
      </c>
      <c r="B64" s="1348" t="s">
        <v>209</v>
      </c>
      <c r="C64" s="1348"/>
      <c r="D64" s="1348"/>
      <c r="E64" s="276">
        <v>0</v>
      </c>
      <c r="F64" s="276">
        <v>0</v>
      </c>
      <c r="G64" s="276">
        <v>0</v>
      </c>
      <c r="H64" s="276">
        <v>0</v>
      </c>
      <c r="I64" s="276">
        <v>0</v>
      </c>
      <c r="J64" s="276">
        <v>0</v>
      </c>
      <c r="K64" s="276">
        <v>0</v>
      </c>
      <c r="L64" s="276"/>
      <c r="M64" s="276">
        <v>0</v>
      </c>
      <c r="N64" s="276">
        <v>0</v>
      </c>
      <c r="O64" s="276">
        <v>0</v>
      </c>
      <c r="P64" s="276">
        <v>0</v>
      </c>
      <c r="Q64" s="276">
        <v>0</v>
      </c>
      <c r="R64" s="276">
        <v>0</v>
      </c>
      <c r="S64" s="276">
        <v>0</v>
      </c>
      <c r="T64" s="276"/>
      <c r="U64" s="276">
        <v>0</v>
      </c>
      <c r="V64" s="276">
        <v>0</v>
      </c>
      <c r="W64" s="276">
        <v>0</v>
      </c>
      <c r="X64" s="276">
        <v>0</v>
      </c>
      <c r="Y64" s="276">
        <v>0</v>
      </c>
      <c r="Z64" s="276">
        <v>0</v>
      </c>
      <c r="AA64" s="276"/>
      <c r="AB64" s="276"/>
      <c r="AC64" s="276">
        <v>0</v>
      </c>
      <c r="AD64" s="276">
        <v>0</v>
      </c>
      <c r="AE64" s="276">
        <v>0</v>
      </c>
      <c r="AF64" s="276">
        <v>0</v>
      </c>
      <c r="AG64" s="276">
        <v>0</v>
      </c>
      <c r="AH64" s="276">
        <v>0</v>
      </c>
      <c r="AI64" s="276"/>
      <c r="AJ64" s="276"/>
    </row>
  </sheetData>
  <sheetProtection/>
  <mergeCells count="40">
    <mergeCell ref="B63:D63"/>
    <mergeCell ref="C31:D31"/>
    <mergeCell ref="C49:U49"/>
    <mergeCell ref="A36:D36"/>
    <mergeCell ref="B41:D41"/>
    <mergeCell ref="C44:D44"/>
    <mergeCell ref="B46:D46"/>
    <mergeCell ref="B47:D47"/>
    <mergeCell ref="B45:D45"/>
    <mergeCell ref="C43:U43"/>
    <mergeCell ref="B64:D64"/>
    <mergeCell ref="B52:D52"/>
    <mergeCell ref="B53:D53"/>
    <mergeCell ref="B58:D58"/>
    <mergeCell ref="B59:D59"/>
    <mergeCell ref="B61:D61"/>
    <mergeCell ref="B60:D60"/>
    <mergeCell ref="C55:U55"/>
    <mergeCell ref="C57:D57"/>
    <mergeCell ref="B62:D62"/>
    <mergeCell ref="C39:U39"/>
    <mergeCell ref="C19:D19"/>
    <mergeCell ref="A1:AC1"/>
    <mergeCell ref="A3:D3"/>
    <mergeCell ref="B5:D5"/>
    <mergeCell ref="AC3:AJ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&amp;C&amp;"Algerian,Normál"&amp;16BELED VÁROS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31" max="65" man="1"/>
    <brk id="3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workbookViewId="0" topLeftCell="A1">
      <selection activeCell="G36" sqref="G36"/>
    </sheetView>
  </sheetViews>
  <sheetFormatPr defaultColWidth="10.7109375" defaultRowHeight="12.75"/>
  <cols>
    <col min="1" max="1" width="67.7109375" style="1226" customWidth="1"/>
    <col min="2" max="2" width="6.140625" style="1226" customWidth="1"/>
    <col min="3" max="3" width="11.7109375" style="1226" customWidth="1"/>
    <col min="4" max="4" width="17.28125" style="1226" customWidth="1"/>
    <col min="5" max="5" width="13.28125" style="1226" customWidth="1"/>
    <col min="6" max="16384" width="10.7109375" style="1183" customWidth="1"/>
  </cols>
  <sheetData>
    <row r="1" spans="1:6" ht="48" customHeight="1">
      <c r="A1" s="1508" t="s">
        <v>806</v>
      </c>
      <c r="B1" s="1508"/>
      <c r="C1" s="1508"/>
      <c r="D1" s="1508"/>
      <c r="E1" s="1508"/>
      <c r="F1" s="1137"/>
    </row>
    <row r="2" spans="1:6" ht="16.5" thickBot="1">
      <c r="A2" s="1184" t="s">
        <v>805</v>
      </c>
      <c r="B2" s="1163"/>
      <c r="C2" s="1163"/>
      <c r="D2" s="1509" t="s">
        <v>807</v>
      </c>
      <c r="E2" s="1509"/>
      <c r="F2" s="1137"/>
    </row>
    <row r="3" spans="1:6" ht="43.5" customHeight="1" thickBot="1">
      <c r="A3" s="1185" t="s">
        <v>4</v>
      </c>
      <c r="B3" s="1186" t="s">
        <v>6</v>
      </c>
      <c r="C3" s="1187" t="s">
        <v>808</v>
      </c>
      <c r="D3" s="1188" t="s">
        <v>809</v>
      </c>
      <c r="E3" s="1189" t="s">
        <v>810</v>
      </c>
      <c r="F3" s="1137"/>
    </row>
    <row r="4" spans="1:6" ht="16.5" thickBot="1">
      <c r="A4" s="1190" t="s">
        <v>649</v>
      </c>
      <c r="B4" s="1191" t="s">
        <v>15</v>
      </c>
      <c r="C4" s="1191" t="s">
        <v>650</v>
      </c>
      <c r="D4" s="1192" t="s">
        <v>651</v>
      </c>
      <c r="E4" s="1193"/>
      <c r="F4" s="1137"/>
    </row>
    <row r="5" spans="1:6" ht="15.75" customHeight="1">
      <c r="A5" s="1194" t="s">
        <v>811</v>
      </c>
      <c r="B5" s="1195" t="s">
        <v>29</v>
      </c>
      <c r="C5" s="1196">
        <v>66</v>
      </c>
      <c r="D5" s="1197">
        <v>16585959</v>
      </c>
      <c r="E5" s="1198"/>
      <c r="F5" s="1137"/>
    </row>
    <row r="6" spans="1:6" ht="15.75" customHeight="1">
      <c r="A6" s="1194" t="s">
        <v>812</v>
      </c>
      <c r="B6" s="1199" t="s">
        <v>30</v>
      </c>
      <c r="C6" s="1200"/>
      <c r="D6" s="1201"/>
      <c r="E6" s="1202"/>
      <c r="F6" s="1137"/>
    </row>
    <row r="7" spans="1:6" ht="15.75" customHeight="1">
      <c r="A7" s="1194" t="s">
        <v>813</v>
      </c>
      <c r="B7" s="1203" t="s">
        <v>10</v>
      </c>
      <c r="C7" s="1200">
        <v>6</v>
      </c>
      <c r="D7" s="1201">
        <v>433748</v>
      </c>
      <c r="E7" s="1202"/>
      <c r="F7" s="1137"/>
    </row>
    <row r="8" spans="1:6" ht="15.75" customHeight="1" thickBot="1">
      <c r="A8" s="1204" t="s">
        <v>814</v>
      </c>
      <c r="B8" s="1205" t="s">
        <v>11</v>
      </c>
      <c r="C8" s="1206"/>
      <c r="D8" s="1207"/>
      <c r="E8" s="1208"/>
      <c r="F8" s="1137"/>
    </row>
    <row r="9" spans="1:6" ht="15.75" customHeight="1" thickBot="1">
      <c r="A9" s="1209" t="s">
        <v>815</v>
      </c>
      <c r="B9" s="1210" t="s">
        <v>12</v>
      </c>
      <c r="C9" s="1211"/>
      <c r="D9" s="1227"/>
      <c r="E9" s="1212">
        <f>SUM(E5:E8)</f>
        <v>0</v>
      </c>
      <c r="F9" s="1137"/>
    </row>
    <row r="10" spans="1:6" ht="15.75" customHeight="1">
      <c r="A10" s="1213" t="s">
        <v>816</v>
      </c>
      <c r="B10" s="1195" t="s">
        <v>13</v>
      </c>
      <c r="C10" s="1196"/>
      <c r="D10" s="1214"/>
      <c r="E10" s="1198"/>
      <c r="F10" s="1137"/>
    </row>
    <row r="11" spans="1:6" ht="15.75" customHeight="1">
      <c r="A11" s="1194" t="s">
        <v>817</v>
      </c>
      <c r="B11" s="1215" t="s">
        <v>14</v>
      </c>
      <c r="C11" s="1200"/>
      <c r="D11" s="1201"/>
      <c r="E11" s="1216"/>
      <c r="F11" s="1137"/>
    </row>
    <row r="12" spans="1:6" ht="15.75" customHeight="1">
      <c r="A12" s="1194" t="s">
        <v>818</v>
      </c>
      <c r="B12" s="1215" t="s">
        <v>61</v>
      </c>
      <c r="C12" s="1200"/>
      <c r="D12" s="1201"/>
      <c r="E12" s="1216"/>
      <c r="F12" s="1137"/>
    </row>
    <row r="13" spans="1:6" ht="15.75" customHeight="1" thickBot="1">
      <c r="A13" s="1204" t="s">
        <v>819</v>
      </c>
      <c r="B13" s="1205" t="s">
        <v>62</v>
      </c>
      <c r="C13" s="1206"/>
      <c r="D13" s="1207"/>
      <c r="E13" s="1217"/>
      <c r="F13" s="1137"/>
    </row>
    <row r="14" spans="1:6" ht="15.75" customHeight="1" thickBot="1">
      <c r="A14" s="1209" t="s">
        <v>820</v>
      </c>
      <c r="B14" s="1218" t="s">
        <v>436</v>
      </c>
      <c r="C14" s="1219"/>
      <c r="D14" s="1220">
        <f>+D15+D16+D17</f>
        <v>0</v>
      </c>
      <c r="E14" s="1193"/>
      <c r="F14" s="1137"/>
    </row>
    <row r="15" spans="1:6" ht="15.75" customHeight="1">
      <c r="A15" s="1213" t="s">
        <v>821</v>
      </c>
      <c r="B15" s="1195" t="s">
        <v>439</v>
      </c>
      <c r="C15" s="1196"/>
      <c r="D15" s="1214"/>
      <c r="E15" s="1221"/>
      <c r="F15" s="1137"/>
    </row>
    <row r="16" spans="1:6" ht="15.75" customHeight="1">
      <c r="A16" s="1194" t="s">
        <v>822</v>
      </c>
      <c r="B16" s="1215" t="s">
        <v>440</v>
      </c>
      <c r="C16" s="1200"/>
      <c r="D16" s="1201"/>
      <c r="E16" s="1216"/>
      <c r="F16" s="1137"/>
    </row>
    <row r="17" spans="1:6" ht="15.75" customHeight="1" thickBot="1">
      <c r="A17" s="1204" t="s">
        <v>823</v>
      </c>
      <c r="B17" s="1205" t="s">
        <v>441</v>
      </c>
      <c r="C17" s="1206"/>
      <c r="D17" s="1207"/>
      <c r="E17" s="1217"/>
      <c r="F17" s="1137"/>
    </row>
    <row r="18" spans="1:6" ht="15.75" customHeight="1" thickBot="1">
      <c r="A18" s="1209" t="s">
        <v>824</v>
      </c>
      <c r="B18" s="1218" t="s">
        <v>442</v>
      </c>
      <c r="C18" s="1219"/>
      <c r="D18" s="1220">
        <f>+D19+D20+D21</f>
        <v>0</v>
      </c>
      <c r="E18" s="1193"/>
      <c r="F18" s="1137"/>
    </row>
    <row r="19" spans="1:6" ht="15.75" customHeight="1">
      <c r="A19" s="1213" t="s">
        <v>825</v>
      </c>
      <c r="B19" s="1195" t="s">
        <v>443</v>
      </c>
      <c r="C19" s="1196"/>
      <c r="D19" s="1214"/>
      <c r="E19" s="1221"/>
      <c r="F19" s="1137"/>
    </row>
    <row r="20" spans="1:6" ht="15.75" customHeight="1">
      <c r="A20" s="1194" t="s">
        <v>826</v>
      </c>
      <c r="B20" s="1215" t="s">
        <v>702</v>
      </c>
      <c r="C20" s="1200"/>
      <c r="D20" s="1201"/>
      <c r="E20" s="1216"/>
      <c r="F20" s="1137"/>
    </row>
    <row r="21" spans="1:6" ht="15.75" customHeight="1">
      <c r="A21" s="1194" t="s">
        <v>827</v>
      </c>
      <c r="B21" s="1215" t="s">
        <v>704</v>
      </c>
      <c r="C21" s="1200"/>
      <c r="D21" s="1201"/>
      <c r="E21" s="1216"/>
      <c r="F21" s="1137"/>
    </row>
    <row r="22" spans="1:6" ht="15.75" customHeight="1">
      <c r="A22" s="1194" t="s">
        <v>828</v>
      </c>
      <c r="B22" s="1215" t="s">
        <v>706</v>
      </c>
      <c r="C22" s="1200"/>
      <c r="D22" s="1201"/>
      <c r="E22" s="1216"/>
      <c r="F22" s="1137"/>
    </row>
    <row r="23" spans="1:6" ht="15.75" customHeight="1">
      <c r="A23" s="1194"/>
      <c r="B23" s="1215" t="s">
        <v>708</v>
      </c>
      <c r="C23" s="1200"/>
      <c r="D23" s="1201"/>
      <c r="E23" s="1216"/>
      <c r="F23" s="1137"/>
    </row>
    <row r="24" spans="1:6" ht="15.75" customHeight="1">
      <c r="A24" s="1194"/>
      <c r="B24" s="1215" t="s">
        <v>710</v>
      </c>
      <c r="C24" s="1200"/>
      <c r="D24" s="1201"/>
      <c r="E24" s="1216"/>
      <c r="F24" s="1137"/>
    </row>
    <row r="25" spans="1:6" ht="15.75" customHeight="1">
      <c r="A25" s="1194"/>
      <c r="B25" s="1215" t="s">
        <v>712</v>
      </c>
      <c r="C25" s="1200"/>
      <c r="D25" s="1201"/>
      <c r="E25" s="1216"/>
      <c r="F25" s="1137"/>
    </row>
    <row r="26" spans="1:6" ht="15.75" customHeight="1">
      <c r="A26" s="1194"/>
      <c r="B26" s="1215" t="s">
        <v>714</v>
      </c>
      <c r="C26" s="1200"/>
      <c r="D26" s="1201"/>
      <c r="E26" s="1216"/>
      <c r="F26" s="1137"/>
    </row>
    <row r="27" spans="1:6" ht="15.75" customHeight="1">
      <c r="A27" s="1194"/>
      <c r="B27" s="1215" t="s">
        <v>716</v>
      </c>
      <c r="C27" s="1200"/>
      <c r="D27" s="1201"/>
      <c r="E27" s="1216"/>
      <c r="F27" s="1137"/>
    </row>
    <row r="28" spans="1:6" ht="15.75" customHeight="1">
      <c r="A28" s="1194"/>
      <c r="B28" s="1215" t="s">
        <v>718</v>
      </c>
      <c r="C28" s="1200"/>
      <c r="D28" s="1201"/>
      <c r="E28" s="1216"/>
      <c r="F28" s="1137"/>
    </row>
    <row r="29" spans="1:6" ht="15.75" customHeight="1">
      <c r="A29" s="1194"/>
      <c r="B29" s="1215" t="s">
        <v>720</v>
      </c>
      <c r="C29" s="1200"/>
      <c r="D29" s="1201"/>
      <c r="E29" s="1216"/>
      <c r="F29" s="1137"/>
    </row>
    <row r="30" spans="1:6" ht="15.75" customHeight="1">
      <c r="A30" s="1194"/>
      <c r="B30" s="1215" t="s">
        <v>722</v>
      </c>
      <c r="C30" s="1200"/>
      <c r="D30" s="1201"/>
      <c r="E30" s="1216"/>
      <c r="F30" s="1137"/>
    </row>
    <row r="31" spans="1:6" ht="15.75" customHeight="1">
      <c r="A31" s="1194"/>
      <c r="B31" s="1215" t="s">
        <v>724</v>
      </c>
      <c r="C31" s="1200"/>
      <c r="D31" s="1201"/>
      <c r="E31" s="1216"/>
      <c r="F31" s="1137"/>
    </row>
    <row r="32" spans="1:6" ht="15.75" customHeight="1">
      <c r="A32" s="1194"/>
      <c r="B32" s="1215" t="s">
        <v>726</v>
      </c>
      <c r="C32" s="1200"/>
      <c r="D32" s="1201"/>
      <c r="E32" s="1216"/>
      <c r="F32" s="1137"/>
    </row>
    <row r="33" spans="1:6" ht="15.75" customHeight="1">
      <c r="A33" s="1194"/>
      <c r="B33" s="1215" t="s">
        <v>728</v>
      </c>
      <c r="C33" s="1200"/>
      <c r="D33" s="1201"/>
      <c r="E33" s="1216"/>
      <c r="F33" s="1137"/>
    </row>
    <row r="34" spans="1:6" ht="15.75" customHeight="1">
      <c r="A34" s="1194"/>
      <c r="B34" s="1215" t="s">
        <v>730</v>
      </c>
      <c r="C34" s="1200"/>
      <c r="D34" s="1201"/>
      <c r="E34" s="1216"/>
      <c r="F34" s="1137"/>
    </row>
    <row r="35" spans="1:6" ht="15.75" customHeight="1">
      <c r="A35" s="1194"/>
      <c r="B35" s="1215" t="s">
        <v>732</v>
      </c>
      <c r="C35" s="1200"/>
      <c r="D35" s="1201"/>
      <c r="E35" s="1216"/>
      <c r="F35" s="1137"/>
    </row>
    <row r="36" spans="1:6" ht="15.75" customHeight="1">
      <c r="A36" s="1194"/>
      <c r="B36" s="1215" t="s">
        <v>734</v>
      </c>
      <c r="C36" s="1200"/>
      <c r="D36" s="1201"/>
      <c r="E36" s="1216"/>
      <c r="F36" s="1137"/>
    </row>
    <row r="37" spans="1:6" ht="15.75" customHeight="1" thickBot="1">
      <c r="A37" s="1204"/>
      <c r="B37" s="1205" t="s">
        <v>736</v>
      </c>
      <c r="C37" s="1206"/>
      <c r="D37" s="1207"/>
      <c r="E37" s="1217"/>
      <c r="F37" s="1137"/>
    </row>
    <row r="38" spans="1:6" ht="15.75" customHeight="1" thickBot="1">
      <c r="A38" s="1510" t="s">
        <v>829</v>
      </c>
      <c r="B38" s="1510"/>
      <c r="C38" s="1222"/>
      <c r="D38" s="1223">
        <f>SUM(D5:D8)</f>
        <v>17019707</v>
      </c>
      <c r="E38" s="1224">
        <f>E9+E14+E18+E19+E20+E21+E22</f>
        <v>0</v>
      </c>
      <c r="F38" s="1225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&amp;R13/e. számú melléklet</oddHeader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workbookViewId="0" topLeftCell="A16">
      <selection activeCell="D38" sqref="D38"/>
    </sheetView>
  </sheetViews>
  <sheetFormatPr defaultColWidth="10.7109375" defaultRowHeight="12.75"/>
  <cols>
    <col min="1" max="1" width="67.7109375" style="1226" customWidth="1"/>
    <col min="2" max="2" width="11.421875" style="1226" customWidth="1"/>
    <col min="3" max="3" width="12.7109375" style="1226" customWidth="1"/>
    <col min="4" max="4" width="14.7109375" style="1226" customWidth="1"/>
    <col min="5" max="5" width="18.57421875" style="1226" customWidth="1"/>
    <col min="6" max="16384" width="10.7109375" style="1183" customWidth="1"/>
  </cols>
  <sheetData>
    <row r="1" spans="1:6" ht="48" customHeight="1">
      <c r="A1" s="1508" t="s">
        <v>806</v>
      </c>
      <c r="B1" s="1508"/>
      <c r="C1" s="1508"/>
      <c r="D1" s="1508"/>
      <c r="E1" s="1508"/>
      <c r="F1" s="1137"/>
    </row>
    <row r="2" spans="1:6" ht="16.5" thickBot="1">
      <c r="A2" s="1184" t="s">
        <v>221</v>
      </c>
      <c r="B2" s="1163"/>
      <c r="C2" s="1163"/>
      <c r="D2" s="1509" t="s">
        <v>807</v>
      </c>
      <c r="E2" s="1509"/>
      <c r="F2" s="1137"/>
    </row>
    <row r="3" spans="1:6" ht="54" customHeight="1" thickBot="1">
      <c r="A3" s="1185" t="s">
        <v>4</v>
      </c>
      <c r="B3" s="1186" t="s">
        <v>6</v>
      </c>
      <c r="C3" s="1187" t="s">
        <v>808</v>
      </c>
      <c r="D3" s="1188" t="s">
        <v>809</v>
      </c>
      <c r="E3" s="1189" t="s">
        <v>810</v>
      </c>
      <c r="F3" s="1137"/>
    </row>
    <row r="4" spans="1:6" ht="16.5" thickBot="1">
      <c r="A4" s="1190" t="s">
        <v>649</v>
      </c>
      <c r="B4" s="1191" t="s">
        <v>15</v>
      </c>
      <c r="C4" s="1191" t="s">
        <v>650</v>
      </c>
      <c r="D4" s="1192" t="s">
        <v>651</v>
      </c>
      <c r="E4" s="1193"/>
      <c r="F4" s="1137"/>
    </row>
    <row r="5" spans="1:6" ht="15.75" customHeight="1">
      <c r="A5" s="1194" t="s">
        <v>811</v>
      </c>
      <c r="B5" s="1195" t="s">
        <v>29</v>
      </c>
      <c r="C5" s="1196">
        <v>127</v>
      </c>
      <c r="D5" s="1197">
        <v>27911299</v>
      </c>
      <c r="E5" s="1198"/>
      <c r="F5" s="1137"/>
    </row>
    <row r="6" spans="1:6" ht="15.75" customHeight="1">
      <c r="A6" s="1194" t="s">
        <v>812</v>
      </c>
      <c r="B6" s="1199" t="s">
        <v>30</v>
      </c>
      <c r="C6" s="1200"/>
      <c r="D6" s="1201"/>
      <c r="E6" s="1202"/>
      <c r="F6" s="1137"/>
    </row>
    <row r="7" spans="1:6" ht="15.75" customHeight="1">
      <c r="A7" s="1194" t="s">
        <v>813</v>
      </c>
      <c r="B7" s="1203" t="s">
        <v>10</v>
      </c>
      <c r="C7" s="1200">
        <v>17</v>
      </c>
      <c r="D7" s="1201">
        <v>3531084</v>
      </c>
      <c r="E7" s="1202"/>
      <c r="F7" s="1137"/>
    </row>
    <row r="8" spans="1:6" ht="15.75" customHeight="1" thickBot="1">
      <c r="A8" s="1204" t="s">
        <v>814</v>
      </c>
      <c r="B8" s="1205" t="s">
        <v>11</v>
      </c>
      <c r="C8" s="1206"/>
      <c r="D8" s="1207"/>
      <c r="E8" s="1208"/>
      <c r="F8" s="1137"/>
    </row>
    <row r="9" spans="1:6" ht="15.75" customHeight="1" thickBot="1">
      <c r="A9" s="1209" t="s">
        <v>815</v>
      </c>
      <c r="B9" s="1210" t="s">
        <v>12</v>
      </c>
      <c r="C9" s="1211"/>
      <c r="D9" s="1227"/>
      <c r="E9" s="1212">
        <f>SUM(E5:E8)</f>
        <v>0</v>
      </c>
      <c r="F9" s="1137"/>
    </row>
    <row r="10" spans="1:6" ht="15.75" customHeight="1">
      <c r="A10" s="1213" t="s">
        <v>816</v>
      </c>
      <c r="B10" s="1195" t="s">
        <v>13</v>
      </c>
      <c r="C10" s="1196"/>
      <c r="D10" s="1214"/>
      <c r="E10" s="1198"/>
      <c r="F10" s="1137"/>
    </row>
    <row r="11" spans="1:6" ht="15.75" customHeight="1">
      <c r="A11" s="1194" t="s">
        <v>817</v>
      </c>
      <c r="B11" s="1215" t="s">
        <v>14</v>
      </c>
      <c r="C11" s="1200"/>
      <c r="D11" s="1201"/>
      <c r="E11" s="1216"/>
      <c r="F11" s="1137"/>
    </row>
    <row r="12" spans="1:6" ht="15.75" customHeight="1">
      <c r="A12" s="1194" t="s">
        <v>818</v>
      </c>
      <c r="B12" s="1215" t="s">
        <v>61</v>
      </c>
      <c r="C12" s="1200"/>
      <c r="D12" s="1201"/>
      <c r="E12" s="1216"/>
      <c r="F12" s="1137"/>
    </row>
    <row r="13" spans="1:6" ht="15.75" customHeight="1" thickBot="1">
      <c r="A13" s="1204" t="s">
        <v>819</v>
      </c>
      <c r="B13" s="1205" t="s">
        <v>62</v>
      </c>
      <c r="C13" s="1206"/>
      <c r="D13" s="1207"/>
      <c r="E13" s="1217"/>
      <c r="F13" s="1137"/>
    </row>
    <row r="14" spans="1:6" ht="15.75" customHeight="1" thickBot="1">
      <c r="A14" s="1209" t="s">
        <v>820</v>
      </c>
      <c r="B14" s="1218" t="s">
        <v>436</v>
      </c>
      <c r="C14" s="1219"/>
      <c r="D14" s="1220">
        <f>+D15+D16+D17</f>
        <v>0</v>
      </c>
      <c r="E14" s="1193"/>
      <c r="F14" s="1137"/>
    </row>
    <row r="15" spans="1:6" ht="15.75" customHeight="1">
      <c r="A15" s="1213" t="s">
        <v>821</v>
      </c>
      <c r="B15" s="1195" t="s">
        <v>439</v>
      </c>
      <c r="C15" s="1196"/>
      <c r="D15" s="1214"/>
      <c r="E15" s="1221"/>
      <c r="F15" s="1137"/>
    </row>
    <row r="16" spans="1:6" ht="15.75" customHeight="1">
      <c r="A16" s="1194" t="s">
        <v>822</v>
      </c>
      <c r="B16" s="1215" t="s">
        <v>440</v>
      </c>
      <c r="C16" s="1200"/>
      <c r="D16" s="1201"/>
      <c r="E16" s="1216"/>
      <c r="F16" s="1137"/>
    </row>
    <row r="17" spans="1:6" ht="15.75" customHeight="1" thickBot="1">
      <c r="A17" s="1204" t="s">
        <v>823</v>
      </c>
      <c r="B17" s="1205" t="s">
        <v>441</v>
      </c>
      <c r="C17" s="1206"/>
      <c r="D17" s="1207"/>
      <c r="E17" s="1217"/>
      <c r="F17" s="1137"/>
    </row>
    <row r="18" spans="1:6" ht="15.75" customHeight="1" thickBot="1">
      <c r="A18" s="1209" t="s">
        <v>824</v>
      </c>
      <c r="B18" s="1218" t="s">
        <v>442</v>
      </c>
      <c r="C18" s="1219"/>
      <c r="D18" s="1220">
        <f>+D19+D20+D21</f>
        <v>0</v>
      </c>
      <c r="E18" s="1193"/>
      <c r="F18" s="1137"/>
    </row>
    <row r="19" spans="1:6" ht="15.75" customHeight="1">
      <c r="A19" s="1213" t="s">
        <v>825</v>
      </c>
      <c r="B19" s="1195" t="s">
        <v>443</v>
      </c>
      <c r="C19" s="1196"/>
      <c r="D19" s="1214"/>
      <c r="E19" s="1221"/>
      <c r="F19" s="1137"/>
    </row>
    <row r="20" spans="1:6" ht="15.75" customHeight="1">
      <c r="A20" s="1194" t="s">
        <v>826</v>
      </c>
      <c r="B20" s="1215" t="s">
        <v>702</v>
      </c>
      <c r="C20" s="1200"/>
      <c r="D20" s="1201"/>
      <c r="E20" s="1216"/>
      <c r="F20" s="1137"/>
    </row>
    <row r="21" spans="1:6" ht="15.75" customHeight="1">
      <c r="A21" s="1194" t="s">
        <v>827</v>
      </c>
      <c r="B21" s="1215" t="s">
        <v>704</v>
      </c>
      <c r="C21" s="1200"/>
      <c r="D21" s="1201"/>
      <c r="E21" s="1216"/>
      <c r="F21" s="1137"/>
    </row>
    <row r="22" spans="1:6" ht="15.75" customHeight="1">
      <c r="A22" s="1194" t="s">
        <v>828</v>
      </c>
      <c r="B22" s="1215" t="s">
        <v>706</v>
      </c>
      <c r="C22" s="1200"/>
      <c r="D22" s="1201"/>
      <c r="E22" s="1216"/>
      <c r="F22" s="1137"/>
    </row>
    <row r="23" spans="1:6" ht="15.75" customHeight="1">
      <c r="A23" s="1194"/>
      <c r="B23" s="1215" t="s">
        <v>708</v>
      </c>
      <c r="C23" s="1200"/>
      <c r="D23" s="1201"/>
      <c r="E23" s="1216"/>
      <c r="F23" s="1137"/>
    </row>
    <row r="24" spans="1:6" ht="15.75" customHeight="1">
      <c r="A24" s="1194"/>
      <c r="B24" s="1215" t="s">
        <v>710</v>
      </c>
      <c r="C24" s="1200"/>
      <c r="D24" s="1201"/>
      <c r="E24" s="1216"/>
      <c r="F24" s="1137"/>
    </row>
    <row r="25" spans="1:6" ht="15.75" customHeight="1">
      <c r="A25" s="1194"/>
      <c r="B25" s="1215" t="s">
        <v>712</v>
      </c>
      <c r="C25" s="1200"/>
      <c r="D25" s="1201"/>
      <c r="E25" s="1216"/>
      <c r="F25" s="1137"/>
    </row>
    <row r="26" spans="1:6" ht="15.75" customHeight="1">
      <c r="A26" s="1194"/>
      <c r="B26" s="1215" t="s">
        <v>714</v>
      </c>
      <c r="C26" s="1200"/>
      <c r="D26" s="1201"/>
      <c r="E26" s="1216"/>
      <c r="F26" s="1137"/>
    </row>
    <row r="27" spans="1:6" ht="15.75" customHeight="1">
      <c r="A27" s="1194"/>
      <c r="B27" s="1215" t="s">
        <v>716</v>
      </c>
      <c r="C27" s="1200"/>
      <c r="D27" s="1201"/>
      <c r="E27" s="1216"/>
      <c r="F27" s="1137"/>
    </row>
    <row r="28" spans="1:6" ht="15.75" customHeight="1">
      <c r="A28" s="1194"/>
      <c r="B28" s="1215" t="s">
        <v>718</v>
      </c>
      <c r="C28" s="1200"/>
      <c r="D28" s="1201"/>
      <c r="E28" s="1216"/>
      <c r="F28" s="1137"/>
    </row>
    <row r="29" spans="1:6" ht="15.75" customHeight="1">
      <c r="A29" s="1194"/>
      <c r="B29" s="1215" t="s">
        <v>720</v>
      </c>
      <c r="C29" s="1200"/>
      <c r="D29" s="1201"/>
      <c r="E29" s="1216"/>
      <c r="F29" s="1137"/>
    </row>
    <row r="30" spans="1:6" ht="15.75" customHeight="1">
      <c r="A30" s="1194"/>
      <c r="B30" s="1215" t="s">
        <v>722</v>
      </c>
      <c r="C30" s="1200"/>
      <c r="D30" s="1201"/>
      <c r="E30" s="1216"/>
      <c r="F30" s="1137"/>
    </row>
    <row r="31" spans="1:6" ht="15.75" customHeight="1">
      <c r="A31" s="1194"/>
      <c r="B31" s="1215" t="s">
        <v>724</v>
      </c>
      <c r="C31" s="1200"/>
      <c r="D31" s="1201"/>
      <c r="E31" s="1216"/>
      <c r="F31" s="1137"/>
    </row>
    <row r="32" spans="1:6" ht="15.75" customHeight="1">
      <c r="A32" s="1194"/>
      <c r="B32" s="1215" t="s">
        <v>726</v>
      </c>
      <c r="C32" s="1200"/>
      <c r="D32" s="1201"/>
      <c r="E32" s="1216"/>
      <c r="F32" s="1137"/>
    </row>
    <row r="33" spans="1:6" ht="15.75" customHeight="1">
      <c r="A33" s="1194"/>
      <c r="B33" s="1215" t="s">
        <v>728</v>
      </c>
      <c r="C33" s="1200"/>
      <c r="D33" s="1201"/>
      <c r="E33" s="1216"/>
      <c r="F33" s="1137"/>
    </row>
    <row r="34" spans="1:6" ht="15.75" customHeight="1">
      <c r="A34" s="1194"/>
      <c r="B34" s="1215" t="s">
        <v>730</v>
      </c>
      <c r="C34" s="1200"/>
      <c r="D34" s="1201"/>
      <c r="E34" s="1216"/>
      <c r="F34" s="1137"/>
    </row>
    <row r="35" spans="1:6" ht="15.75" customHeight="1">
      <c r="A35" s="1194"/>
      <c r="B35" s="1215" t="s">
        <v>732</v>
      </c>
      <c r="C35" s="1200"/>
      <c r="D35" s="1201"/>
      <c r="E35" s="1216"/>
      <c r="F35" s="1137"/>
    </row>
    <row r="36" spans="1:6" ht="15.75" customHeight="1">
      <c r="A36" s="1194"/>
      <c r="B36" s="1215" t="s">
        <v>734</v>
      </c>
      <c r="C36" s="1200"/>
      <c r="D36" s="1201"/>
      <c r="E36" s="1216"/>
      <c r="F36" s="1137"/>
    </row>
    <row r="37" spans="1:6" ht="15.75" customHeight="1" thickBot="1">
      <c r="A37" s="1204"/>
      <c r="B37" s="1205" t="s">
        <v>736</v>
      </c>
      <c r="C37" s="1206"/>
      <c r="D37" s="1207"/>
      <c r="E37" s="1217"/>
      <c r="F37" s="1137"/>
    </row>
    <row r="38" spans="1:6" ht="15.75" customHeight="1" thickBot="1">
      <c r="A38" s="1510" t="s">
        <v>829</v>
      </c>
      <c r="B38" s="1510"/>
      <c r="C38" s="1222"/>
      <c r="D38" s="1223">
        <f>SUM(D5:D8)</f>
        <v>31442383</v>
      </c>
      <c r="E38" s="1224">
        <f>E9+E14+E18+E19+E20+E21+E22</f>
        <v>0</v>
      </c>
      <c r="F38" s="1225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&amp;R13/f. számú melléklet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25" sqref="A4:F25"/>
    </sheetView>
  </sheetViews>
  <sheetFormatPr defaultColWidth="9.140625" defaultRowHeight="12.75"/>
  <cols>
    <col min="1" max="1" width="9.00390625" style="819" customWidth="1"/>
    <col min="2" max="2" width="58.57421875" style="820" customWidth="1"/>
    <col min="3" max="3" width="17.00390625" style="820" customWidth="1"/>
    <col min="4" max="7" width="14.7109375" style="819" customWidth="1"/>
    <col min="8" max="9" width="9.140625" style="819" customWidth="1"/>
    <col min="10" max="16384" width="9.140625" style="819" customWidth="1"/>
  </cols>
  <sheetData>
    <row r="1" spans="5:6" ht="15">
      <c r="E1" s="1511" t="s">
        <v>438</v>
      </c>
      <c r="F1" s="1511"/>
    </row>
    <row r="2" spans="1:7" ht="48.75" customHeight="1">
      <c r="A2" s="1512" t="s">
        <v>1123</v>
      </c>
      <c r="B2" s="1512"/>
      <c r="C2" s="1512"/>
      <c r="D2" s="1512"/>
      <c r="E2" s="1512"/>
      <c r="F2" s="1512"/>
      <c r="G2" s="821"/>
    </row>
    <row r="3" spans="1:8" ht="15.75" customHeight="1" thickBot="1">
      <c r="A3" s="721"/>
      <c r="B3" s="822"/>
      <c r="C3" s="822"/>
      <c r="D3" s="721"/>
      <c r="E3" s="1513" t="s">
        <v>501</v>
      </c>
      <c r="F3" s="1513"/>
      <c r="H3" s="823"/>
    </row>
    <row r="4" spans="1:7" ht="63" customHeight="1">
      <c r="A4" s="1514" t="s">
        <v>263</v>
      </c>
      <c r="B4" s="1516" t="s">
        <v>433</v>
      </c>
      <c r="C4" s="1518" t="s">
        <v>434</v>
      </c>
      <c r="D4" s="1519"/>
      <c r="E4" s="1519"/>
      <c r="F4" s="1520"/>
      <c r="G4" s="824"/>
    </row>
    <row r="5" spans="1:6" ht="16.5" thickBot="1">
      <c r="A5" s="1515"/>
      <c r="B5" s="1517"/>
      <c r="C5" s="825">
        <v>2016</v>
      </c>
      <c r="D5" s="825">
        <v>2017</v>
      </c>
      <c r="E5" s="825">
        <v>2018</v>
      </c>
      <c r="F5" s="825">
        <v>2019</v>
      </c>
    </row>
    <row r="6" spans="1:6" ht="16.5" thickBot="1">
      <c r="A6" s="826">
        <v>1</v>
      </c>
      <c r="B6" s="827">
        <v>2</v>
      </c>
      <c r="C6" s="827">
        <v>3</v>
      </c>
      <c r="D6" s="828">
        <v>4</v>
      </c>
      <c r="E6" s="828">
        <v>5</v>
      </c>
      <c r="F6" s="829">
        <v>6</v>
      </c>
    </row>
    <row r="7" spans="1:9" ht="16.5" thickBot="1">
      <c r="A7" s="830" t="s">
        <v>29</v>
      </c>
      <c r="B7" s="89" t="s">
        <v>606</v>
      </c>
      <c r="C7" s="798">
        <v>106278</v>
      </c>
      <c r="D7" s="798">
        <f>4*755935+173487</f>
        <v>3197227</v>
      </c>
      <c r="E7" s="798">
        <f>4*755935+91845</f>
        <v>3115585</v>
      </c>
      <c r="F7" s="798">
        <f>3*755935+15309</f>
        <v>2283114</v>
      </c>
      <c r="G7" s="866"/>
      <c r="I7" s="866"/>
    </row>
    <row r="8" spans="1:6" ht="27" customHeight="1" hidden="1">
      <c r="A8" s="831" t="s">
        <v>30</v>
      </c>
      <c r="B8" s="90"/>
      <c r="C8" s="90"/>
      <c r="D8" s="74"/>
      <c r="E8" s="832"/>
      <c r="F8" s="833"/>
    </row>
    <row r="9" spans="1:6" ht="27" customHeight="1" hidden="1">
      <c r="A9" s="831" t="s">
        <v>10</v>
      </c>
      <c r="B9" s="86"/>
      <c r="C9" s="86"/>
      <c r="D9" s="74"/>
      <c r="E9" s="832"/>
      <c r="F9" s="833"/>
    </row>
    <row r="10" spans="1:6" ht="27" customHeight="1" hidden="1" thickBot="1">
      <c r="A10" s="831" t="s">
        <v>11</v>
      </c>
      <c r="B10" s="85"/>
      <c r="C10" s="85"/>
      <c r="D10" s="74"/>
      <c r="E10" s="832"/>
      <c r="F10" s="833"/>
    </row>
    <row r="11" spans="1:6" ht="27" customHeight="1" hidden="1">
      <c r="A11" s="831" t="s">
        <v>12</v>
      </c>
      <c r="B11" s="86"/>
      <c r="C11" s="86"/>
      <c r="D11" s="74"/>
      <c r="E11" s="832"/>
      <c r="F11" s="833"/>
    </row>
    <row r="12" spans="1:6" ht="27" customHeight="1" hidden="1">
      <c r="A12" s="831" t="s">
        <v>13</v>
      </c>
      <c r="B12" s="85"/>
      <c r="C12" s="85"/>
      <c r="D12" s="74"/>
      <c r="E12" s="832"/>
      <c r="F12" s="833"/>
    </row>
    <row r="13" spans="1:6" ht="27" customHeight="1" hidden="1">
      <c r="A13" s="831" t="s">
        <v>14</v>
      </c>
      <c r="B13" s="85"/>
      <c r="C13" s="85"/>
      <c r="D13" s="74"/>
      <c r="E13" s="832"/>
      <c r="F13" s="833"/>
    </row>
    <row r="14" spans="1:6" ht="27" customHeight="1" hidden="1">
      <c r="A14" s="831" t="s">
        <v>61</v>
      </c>
      <c r="B14" s="85"/>
      <c r="C14" s="85"/>
      <c r="D14" s="74"/>
      <c r="E14" s="832"/>
      <c r="F14" s="833"/>
    </row>
    <row r="15" spans="1:6" ht="27" customHeight="1" hidden="1">
      <c r="A15" s="831" t="s">
        <v>62</v>
      </c>
      <c r="B15" s="85"/>
      <c r="C15" s="85"/>
      <c r="D15" s="74"/>
      <c r="E15" s="832"/>
      <c r="F15" s="833"/>
    </row>
    <row r="16" spans="1:6" ht="27" customHeight="1" hidden="1" thickBot="1">
      <c r="A16" s="831" t="s">
        <v>436</v>
      </c>
      <c r="B16" s="85"/>
      <c r="C16" s="85"/>
      <c r="D16" s="74"/>
      <c r="E16" s="832"/>
      <c r="F16" s="833"/>
    </row>
    <row r="17" spans="1:6" ht="27" customHeight="1" hidden="1">
      <c r="A17" s="834"/>
      <c r="B17" s="835"/>
      <c r="C17" s="835"/>
      <c r="D17" s="836"/>
      <c r="E17" s="836"/>
      <c r="F17" s="837"/>
    </row>
    <row r="18" spans="1:6" ht="27" customHeight="1" hidden="1">
      <c r="A18" s="834"/>
      <c r="B18" s="835"/>
      <c r="C18" s="835"/>
      <c r="D18" s="836"/>
      <c r="E18" s="836"/>
      <c r="F18" s="837"/>
    </row>
    <row r="19" spans="1:6" ht="27" customHeight="1" hidden="1">
      <c r="A19" s="834"/>
      <c r="B19" s="835"/>
      <c r="C19" s="835"/>
      <c r="D19" s="836"/>
      <c r="E19" s="836"/>
      <c r="F19" s="837"/>
    </row>
    <row r="20" spans="1:6" ht="27" customHeight="1" hidden="1">
      <c r="A20" s="834"/>
      <c r="B20" s="835"/>
      <c r="C20" s="835"/>
      <c r="D20" s="836"/>
      <c r="E20" s="836"/>
      <c r="F20" s="837"/>
    </row>
    <row r="21" spans="1:6" ht="27" customHeight="1" hidden="1">
      <c r="A21" s="834"/>
      <c r="B21" s="835"/>
      <c r="C21" s="835"/>
      <c r="D21" s="836"/>
      <c r="E21" s="836"/>
      <c r="F21" s="837"/>
    </row>
    <row r="22" spans="1:6" ht="27" customHeight="1" hidden="1">
      <c r="A22" s="834"/>
      <c r="B22" s="835"/>
      <c r="C22" s="835"/>
      <c r="D22" s="836"/>
      <c r="E22" s="836"/>
      <c r="F22" s="837"/>
    </row>
    <row r="23" spans="1:6" ht="27" customHeight="1" hidden="1">
      <c r="A23" s="834"/>
      <c r="B23" s="835"/>
      <c r="C23" s="835"/>
      <c r="D23" s="836"/>
      <c r="E23" s="836"/>
      <c r="F23" s="837"/>
    </row>
    <row r="24" spans="1:6" ht="32.25" customHeight="1" hidden="1" thickBot="1">
      <c r="A24" s="834" t="s">
        <v>12</v>
      </c>
      <c r="B24" s="835"/>
      <c r="C24" s="835"/>
      <c r="D24" s="836"/>
      <c r="E24" s="836"/>
      <c r="F24" s="837"/>
    </row>
    <row r="25" spans="1:7" ht="27" customHeight="1" thickBot="1">
      <c r="A25" s="826">
        <v>2</v>
      </c>
      <c r="B25" s="838" t="s">
        <v>437</v>
      </c>
      <c r="C25" s="839">
        <f>SUM(C7:C24)</f>
        <v>106278</v>
      </c>
      <c r="D25" s="839">
        <f>SUM(D7:D24)</f>
        <v>3197227</v>
      </c>
      <c r="E25" s="839">
        <f>SUM(E7:E24)</f>
        <v>3115585</v>
      </c>
      <c r="F25" s="840">
        <f>SUM(F7:F24)</f>
        <v>2283114</v>
      </c>
      <c r="G25" s="867"/>
    </row>
    <row r="27" spans="2:3" ht="15">
      <c r="B27" s="841"/>
      <c r="C27" s="841"/>
    </row>
    <row r="28" spans="2:3" ht="15.75">
      <c r="B28" s="842"/>
      <c r="C28" s="842"/>
    </row>
    <row r="29" spans="2:3" ht="15">
      <c r="B29" s="841"/>
      <c r="C29" s="841"/>
    </row>
  </sheetData>
  <sheetProtection/>
  <mergeCells count="6"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25" sqref="J25"/>
    </sheetView>
  </sheetViews>
  <sheetFormatPr defaultColWidth="9.140625" defaultRowHeight="12.75"/>
  <cols>
    <col min="1" max="1" width="8.140625" style="720" customWidth="1"/>
    <col min="2" max="2" width="64.00390625" style="720" customWidth="1"/>
    <col min="3" max="3" width="19.8515625" style="720" customWidth="1"/>
    <col min="4" max="5" width="16.7109375" style="720" hidden="1" customWidth="1"/>
    <col min="6" max="6" width="15.00390625" style="720" hidden="1" customWidth="1"/>
    <col min="7" max="9" width="15.00390625" style="720" customWidth="1"/>
    <col min="10" max="16384" width="9.140625" style="720" customWidth="1"/>
  </cols>
  <sheetData>
    <row r="1" spans="3:7" ht="15">
      <c r="C1" s="1526" t="s">
        <v>460</v>
      </c>
      <c r="D1" s="1526"/>
      <c r="E1" s="1526"/>
      <c r="F1" s="1526"/>
      <c r="G1" s="1526"/>
    </row>
    <row r="2" spans="1:7" ht="47.25" customHeight="1">
      <c r="A2" s="1525" t="s">
        <v>423</v>
      </c>
      <c r="B2" s="1525"/>
      <c r="C2" s="1525"/>
      <c r="D2" s="1525"/>
      <c r="E2" s="1525"/>
      <c r="F2" s="1525"/>
      <c r="G2" s="1525"/>
    </row>
    <row r="3" spans="1:6" ht="15.75" customHeight="1" thickBot="1">
      <c r="A3" s="721"/>
      <c r="B3" s="721"/>
      <c r="C3" s="1524" t="s">
        <v>501</v>
      </c>
      <c r="D3" s="1524"/>
      <c r="E3" s="1524"/>
      <c r="F3" s="722"/>
    </row>
    <row r="4" spans="1:9" ht="44.25" customHeight="1" thickBot="1">
      <c r="A4" s="723" t="s">
        <v>263</v>
      </c>
      <c r="B4" s="724" t="s">
        <v>424</v>
      </c>
      <c r="C4" s="725" t="s">
        <v>525</v>
      </c>
      <c r="D4" s="725" t="s">
        <v>240</v>
      </c>
      <c r="E4" s="725" t="s">
        <v>243</v>
      </c>
      <c r="F4" s="725" t="s">
        <v>259</v>
      </c>
      <c r="G4" s="725" t="s">
        <v>597</v>
      </c>
      <c r="H4" s="725" t="s">
        <v>432</v>
      </c>
      <c r="I4" s="725" t="s">
        <v>485</v>
      </c>
    </row>
    <row r="5" spans="1:9" ht="26.25" customHeight="1" thickBot="1">
      <c r="A5" s="726">
        <v>1</v>
      </c>
      <c r="B5" s="727">
        <v>2</v>
      </c>
      <c r="C5" s="728">
        <v>3</v>
      </c>
      <c r="D5" s="728">
        <v>4</v>
      </c>
      <c r="E5" s="728">
        <v>5</v>
      </c>
      <c r="F5" s="728">
        <v>6</v>
      </c>
      <c r="G5" s="728">
        <v>4</v>
      </c>
      <c r="H5" s="728">
        <v>5</v>
      </c>
      <c r="I5" s="728">
        <v>6</v>
      </c>
    </row>
    <row r="6" spans="1:9" ht="31.5" customHeight="1">
      <c r="A6" s="729" t="s">
        <v>29</v>
      </c>
      <c r="B6" s="730" t="s">
        <v>298</v>
      </c>
      <c r="C6" s="731">
        <f>'1.sz.m-önk.össze.bev'!E8</f>
        <v>18000000</v>
      </c>
      <c r="D6" s="731">
        <f>'1.sz.m-önk.össze.bev'!F8</f>
        <v>18000000</v>
      </c>
      <c r="E6" s="731">
        <f>'1.sz.m-önk.össze.bev'!G8</f>
        <v>18000000</v>
      </c>
      <c r="F6" s="731">
        <f>'1.sz.m-önk.össze.bev'!H8</f>
        <v>18000000</v>
      </c>
      <c r="G6" s="731">
        <f>'1.sz.m-önk.össze.bev'!I8</f>
        <v>18601694</v>
      </c>
      <c r="H6" s="731">
        <f>'1.sz.m-önk.össze.bev'!J8</f>
        <v>18567953</v>
      </c>
      <c r="I6" s="741">
        <f>H6/G6</f>
        <v>0.9981861329403655</v>
      </c>
    </row>
    <row r="7" spans="1:9" ht="26.25" customHeight="1">
      <c r="A7" s="732" t="s">
        <v>30</v>
      </c>
      <c r="B7" s="730" t="s">
        <v>425</v>
      </c>
      <c r="C7" s="733">
        <f>'1.sz.m-önk.össze.bev'!E13</f>
        <v>100000000</v>
      </c>
      <c r="D7" s="733">
        <f>'1.sz.m-önk.össze.bev'!F13</f>
        <v>100000000</v>
      </c>
      <c r="E7" s="733">
        <f>'1.sz.m-önk.össze.bev'!G13</f>
        <v>100000000</v>
      </c>
      <c r="F7" s="733">
        <f>'1.sz.m-önk.össze.bev'!H13</f>
        <v>100000000</v>
      </c>
      <c r="G7" s="733">
        <f>'1.sz.m-önk.össze.bev'!I13</f>
        <v>100000000</v>
      </c>
      <c r="H7" s="733">
        <f>'1.sz.m-önk.össze.bev'!J13</f>
        <v>142102983</v>
      </c>
      <c r="I7" s="741">
        <f>H7/G7</f>
        <v>1.42102983</v>
      </c>
    </row>
    <row r="8" spans="1:9" ht="33.75" customHeight="1">
      <c r="A8" s="734" t="s">
        <v>10</v>
      </c>
      <c r="B8" s="735" t="s">
        <v>426</v>
      </c>
      <c r="C8" s="736">
        <f>'1.sz.m-önk.össze.bev'!E17</f>
        <v>800000</v>
      </c>
      <c r="D8" s="736">
        <v>1604633</v>
      </c>
      <c r="E8" s="736">
        <f>'1.sz.m-önk.össze.bev'!H17</f>
        <v>1766821</v>
      </c>
      <c r="F8" s="736">
        <f>'1.sz.m-önk.össze.bev'!I17</f>
        <v>3063808</v>
      </c>
      <c r="G8" s="736">
        <f>'1.sz.m-önk.össze.bev'!J17</f>
        <v>0</v>
      </c>
      <c r="H8" s="736">
        <f>'1.sz.m-önk.össze.bev'!K17</f>
        <v>0</v>
      </c>
      <c r="I8" s="741"/>
    </row>
    <row r="9" spans="1:9" ht="33" customHeight="1">
      <c r="A9" s="732" t="s">
        <v>11</v>
      </c>
      <c r="B9" s="737" t="s">
        <v>313</v>
      </c>
      <c r="C9" s="736">
        <f>'1.sz.m-önk.össze.bev'!E20</f>
        <v>560000</v>
      </c>
      <c r="D9" s="736">
        <v>560020</v>
      </c>
      <c r="E9" s="736">
        <f>'1.sz.m-önk.össze.bev'!H20</f>
        <v>560020</v>
      </c>
      <c r="F9" s="736">
        <f>'1.sz.m-önk.össze.bev'!I20</f>
        <v>560020</v>
      </c>
      <c r="G9" s="736">
        <f>'1.sz.m-önk.össze.bev'!J20</f>
        <v>3862991</v>
      </c>
      <c r="H9" s="736">
        <f>'1.sz.m-önk.össze.bev'!K20</f>
        <v>2217020</v>
      </c>
      <c r="I9" s="741">
        <f>H9/G9</f>
        <v>0.57391280487063</v>
      </c>
    </row>
    <row r="10" spans="1:9" ht="26.25" customHeight="1">
      <c r="A10" s="734" t="s">
        <v>12</v>
      </c>
      <c r="B10" s="737" t="s">
        <v>427</v>
      </c>
      <c r="C10" s="738">
        <f>'1.sz.m-önk.össze.bev'!E25</f>
        <v>9403508</v>
      </c>
      <c r="D10" s="738">
        <v>11391016</v>
      </c>
      <c r="E10" s="738">
        <f>'1.sz.m-önk.össze.bev'!H25</f>
        <v>11924870</v>
      </c>
      <c r="F10" s="738">
        <f>'1.sz.m-önk.össze.bev'!I25</f>
        <v>11924870</v>
      </c>
      <c r="G10" s="738">
        <f>'1.sz.m-önk.össze.bev'!J25</f>
        <v>12761294</v>
      </c>
      <c r="H10" s="738">
        <f>'1.sz.m-önk.össze.bev'!K25</f>
        <v>12508269</v>
      </c>
      <c r="I10" s="741">
        <f>H10/G10</f>
        <v>0.9801724652688042</v>
      </c>
    </row>
    <row r="11" spans="1:9" ht="26.25" customHeight="1" thickBot="1">
      <c r="A11" s="734" t="s">
        <v>13</v>
      </c>
      <c r="B11" s="737" t="s">
        <v>479</v>
      </c>
      <c r="C11" s="736">
        <v>0</v>
      </c>
      <c r="D11" s="736">
        <v>0</v>
      </c>
      <c r="E11" s="738">
        <f>'1.sz.m-önk.össze.bev'!H54</f>
        <v>10004115</v>
      </c>
      <c r="F11" s="738">
        <f>'1.sz.m-önk.össze.bev'!I54</f>
        <v>10004115</v>
      </c>
      <c r="G11" s="738">
        <f>'1.sz.m-önk.össze.bev'!J54</f>
        <v>10004115</v>
      </c>
      <c r="H11" s="738">
        <f>'1.sz.m-önk.össze.bev'!K54</f>
        <v>10004115</v>
      </c>
      <c r="I11" s="741">
        <f>H11/G11</f>
        <v>1</v>
      </c>
    </row>
    <row r="12" spans="1:9" ht="26.25" customHeight="1" thickBot="1">
      <c r="A12" s="1521" t="s">
        <v>428</v>
      </c>
      <c r="B12" s="1522"/>
      <c r="C12" s="739">
        <f aca="true" t="shared" si="0" ref="C12:H12">SUM(C6:C11)</f>
        <v>128763508</v>
      </c>
      <c r="D12" s="739">
        <f t="shared" si="0"/>
        <v>131555669</v>
      </c>
      <c r="E12" s="739">
        <f t="shared" si="0"/>
        <v>142255826</v>
      </c>
      <c r="F12" s="739">
        <f t="shared" si="0"/>
        <v>143552813</v>
      </c>
      <c r="G12" s="739">
        <f t="shared" si="0"/>
        <v>145230094</v>
      </c>
      <c r="H12" s="739">
        <f t="shared" si="0"/>
        <v>185400340</v>
      </c>
      <c r="I12" s="742">
        <f>H12/G12</f>
        <v>1.2765972595184025</v>
      </c>
    </row>
    <row r="13" spans="1:5" ht="23.25" customHeight="1">
      <c r="A13" s="1523"/>
      <c r="B13" s="1523"/>
      <c r="C13" s="1523"/>
      <c r="D13" s="740"/>
      <c r="E13" s="740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4" sqref="A3:F4"/>
    </sheetView>
  </sheetViews>
  <sheetFormatPr defaultColWidth="9.140625" defaultRowHeight="12.75"/>
  <cols>
    <col min="2" max="2" width="19.140625" style="0" customWidth="1"/>
    <col min="3" max="3" width="14.421875" style="0" customWidth="1"/>
    <col min="4" max="4" width="13.7109375" style="0" customWidth="1"/>
    <col min="5" max="5" width="16.28125" style="0" customWidth="1"/>
    <col min="6" max="6" width="19.140625" style="0" bestFit="1" customWidth="1"/>
  </cols>
  <sheetData>
    <row r="1" spans="1:6" ht="15">
      <c r="A1" s="1239"/>
      <c r="B1" s="1239"/>
      <c r="C1" s="1240"/>
      <c r="D1" s="1239"/>
      <c r="E1" s="1239"/>
      <c r="F1" s="1241" t="s">
        <v>444</v>
      </c>
    </row>
    <row r="2" spans="1:6" ht="15">
      <c r="A2" s="1239"/>
      <c r="B2" s="1239"/>
      <c r="C2" s="1240"/>
      <c r="D2" s="1239"/>
      <c r="E2" s="1239"/>
      <c r="F2" s="1239"/>
    </row>
    <row r="3" spans="1:6" ht="17.25">
      <c r="A3" s="1527" t="s">
        <v>1100</v>
      </c>
      <c r="B3" s="1527"/>
      <c r="C3" s="1527"/>
      <c r="D3" s="1527"/>
      <c r="E3" s="1527"/>
      <c r="F3" s="1527"/>
    </row>
    <row r="4" spans="1:6" ht="17.25">
      <c r="A4" s="1527" t="s">
        <v>1101</v>
      </c>
      <c r="B4" s="1527"/>
      <c r="C4" s="1527"/>
      <c r="D4" s="1527"/>
      <c r="E4" s="1527"/>
      <c r="F4" s="1527"/>
    </row>
    <row r="5" spans="1:6" ht="18" thickBot="1">
      <c r="A5" s="1242"/>
      <c r="B5" s="1243"/>
      <c r="C5" s="1243"/>
      <c r="D5" s="1243"/>
      <c r="E5" s="1528" t="s">
        <v>1113</v>
      </c>
      <c r="F5" s="1528"/>
    </row>
    <row r="6" spans="1:6" ht="14.25" customHeight="1">
      <c r="A6" s="1529" t="s">
        <v>641</v>
      </c>
      <c r="B6" s="1531" t="s">
        <v>1102</v>
      </c>
      <c r="C6" s="1533" t="s">
        <v>1103</v>
      </c>
      <c r="D6" s="1244" t="s">
        <v>1104</v>
      </c>
      <c r="E6" s="1245" t="s">
        <v>1105</v>
      </c>
      <c r="F6" s="1535" t="s">
        <v>1114</v>
      </c>
    </row>
    <row r="7" spans="1:6" ht="15" customHeight="1" thickBot="1">
      <c r="A7" s="1530"/>
      <c r="B7" s="1532"/>
      <c r="C7" s="1534"/>
      <c r="D7" s="1246" t="s">
        <v>1106</v>
      </c>
      <c r="E7" s="1247" t="s">
        <v>1107</v>
      </c>
      <c r="F7" s="1536"/>
    </row>
    <row r="8" spans="1:6" ht="15.75" thickBot="1">
      <c r="A8" s="1248"/>
      <c r="B8" s="1249" t="s">
        <v>1108</v>
      </c>
      <c r="C8" s="1249"/>
      <c r="D8" s="1250"/>
      <c r="E8" s="1250"/>
      <c r="F8" s="1251">
        <v>0</v>
      </c>
    </row>
    <row r="9" spans="1:6" ht="30.75" thickBot="1">
      <c r="A9" s="1252">
        <v>1</v>
      </c>
      <c r="B9" s="1253" t="s">
        <v>1109</v>
      </c>
      <c r="C9" s="1254"/>
      <c r="D9" s="1255"/>
      <c r="E9" s="1255"/>
      <c r="F9" s="1256">
        <v>0</v>
      </c>
    </row>
    <row r="10" spans="1:6" ht="15.75" thickBot="1">
      <c r="A10" s="1248"/>
      <c r="B10" s="1249" t="s">
        <v>1110</v>
      </c>
      <c r="C10" s="1249"/>
      <c r="D10" s="1250"/>
      <c r="E10" s="1250"/>
      <c r="F10" s="1257"/>
    </row>
    <row r="11" spans="1:6" ht="60">
      <c r="A11" s="1258">
        <v>1</v>
      </c>
      <c r="B11" s="1259" t="s">
        <v>1115</v>
      </c>
      <c r="C11" s="1259" t="s">
        <v>1111</v>
      </c>
      <c r="D11" s="1260" t="s">
        <v>435</v>
      </c>
      <c r="E11" s="1260" t="s">
        <v>1116</v>
      </c>
      <c r="F11" s="1261">
        <v>8315281</v>
      </c>
    </row>
    <row r="12" spans="1:6" ht="15">
      <c r="A12" s="1262">
        <v>2</v>
      </c>
      <c r="B12" s="1259"/>
      <c r="C12" s="1259"/>
      <c r="D12" s="1260"/>
      <c r="E12" s="1260"/>
      <c r="F12" s="1261"/>
    </row>
    <row r="13" spans="1:6" ht="15">
      <c r="A13" s="1252">
        <v>3</v>
      </c>
      <c r="B13" s="1259"/>
      <c r="C13" s="1259"/>
      <c r="D13" s="1263"/>
      <c r="E13" s="1263"/>
      <c r="F13" s="1264"/>
    </row>
    <row r="14" spans="1:6" ht="15.75" thickBot="1">
      <c r="A14" s="1265">
        <v>4</v>
      </c>
      <c r="B14" s="1266"/>
      <c r="C14" s="1259"/>
      <c r="D14" s="1267"/>
      <c r="E14" s="1267"/>
      <c r="F14" s="1268"/>
    </row>
    <row r="15" spans="1:6" ht="16.5" thickBot="1">
      <c r="A15" s="1248"/>
      <c r="B15" s="1269" t="s">
        <v>1112</v>
      </c>
      <c r="C15" s="1269"/>
      <c r="D15" s="1250"/>
      <c r="E15" s="1250"/>
      <c r="F15" s="1257">
        <f>SUM(F11:F14)</f>
        <v>8315281</v>
      </c>
    </row>
  </sheetData>
  <sheetProtection/>
  <mergeCells count="7">
    <mergeCell ref="A3:F3"/>
    <mergeCell ref="A4:F4"/>
    <mergeCell ref="E5:F5"/>
    <mergeCell ref="A6:A7"/>
    <mergeCell ref="B6:B7"/>
    <mergeCell ref="C6:C7"/>
    <mergeCell ref="F6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32" sqref="A2:G32"/>
    </sheetView>
  </sheetViews>
  <sheetFormatPr defaultColWidth="9.140625" defaultRowHeight="12.75"/>
  <cols>
    <col min="1" max="1" width="26.140625" style="0" customWidth="1"/>
    <col min="2" max="2" width="16.140625" style="0" customWidth="1"/>
    <col min="3" max="3" width="18.8515625" style="0" customWidth="1"/>
    <col min="4" max="4" width="18.57421875" style="0" customWidth="1"/>
    <col min="5" max="5" width="16.28125" style="0" customWidth="1"/>
    <col min="6" max="6" width="17.00390625" style="0" customWidth="1"/>
    <col min="7" max="7" width="16.7109375" style="0" hidden="1" customWidth="1"/>
    <col min="8" max="8" width="16.00390625" style="0" customWidth="1"/>
  </cols>
  <sheetData>
    <row r="1" spans="1:7" ht="15">
      <c r="A1" s="1549" t="s">
        <v>1120</v>
      </c>
      <c r="B1" s="1549"/>
      <c r="C1" s="1549"/>
      <c r="D1" s="1549"/>
      <c r="E1" s="1549"/>
      <c r="F1" s="1549"/>
      <c r="G1" s="1549"/>
    </row>
    <row r="2" spans="1:7" ht="18.75">
      <c r="A2" s="1525" t="s">
        <v>607</v>
      </c>
      <c r="B2" s="1525"/>
      <c r="C2" s="1525"/>
      <c r="D2" s="1525"/>
      <c r="E2" s="1525"/>
      <c r="F2" s="1525"/>
      <c r="G2" s="1525"/>
    </row>
    <row r="3" spans="1:7" ht="18.75">
      <c r="A3" s="1525" t="s">
        <v>608</v>
      </c>
      <c r="B3" s="1525"/>
      <c r="C3" s="1525"/>
      <c r="D3" s="1525"/>
      <c r="E3" s="1525"/>
      <c r="F3" s="1525"/>
      <c r="G3" s="1525"/>
    </row>
    <row r="4" spans="1:7" ht="15" thickBot="1">
      <c r="A4" s="721"/>
      <c r="B4" s="721"/>
      <c r="C4" s="1524" t="s">
        <v>501</v>
      </c>
      <c r="D4" s="1524"/>
      <c r="E4" s="1524"/>
      <c r="F4" s="1524"/>
      <c r="G4" s="1524"/>
    </row>
    <row r="5" spans="1:7" ht="16.5" thickBot="1">
      <c r="A5" s="1550" t="s">
        <v>424</v>
      </c>
      <c r="B5" s="1551"/>
      <c r="C5" s="725">
        <v>2016</v>
      </c>
      <c r="D5" s="725">
        <v>2017</v>
      </c>
      <c r="E5" s="725">
        <v>2018</v>
      </c>
      <c r="F5" s="725">
        <v>2019</v>
      </c>
      <c r="G5" s="725">
        <v>2020</v>
      </c>
    </row>
    <row r="6" spans="1:7" ht="15.75">
      <c r="A6" s="1552" t="s">
        <v>298</v>
      </c>
      <c r="B6" s="1553"/>
      <c r="C6" s="731">
        <f>'1.sz.m-önk.össze.bev'!J8</f>
        <v>18567953</v>
      </c>
      <c r="D6" s="731">
        <v>17500000</v>
      </c>
      <c r="E6" s="731">
        <v>17500000</v>
      </c>
      <c r="F6" s="731">
        <v>17500000</v>
      </c>
      <c r="G6" s="731">
        <v>17500000</v>
      </c>
    </row>
    <row r="7" spans="1:7" ht="15.75">
      <c r="A7" s="1545" t="s">
        <v>425</v>
      </c>
      <c r="B7" s="1546"/>
      <c r="C7" s="733">
        <f>'1.sz.m-önk.össze.bev'!J13</f>
        <v>142102983</v>
      </c>
      <c r="D7" s="733">
        <v>140000000</v>
      </c>
      <c r="E7" s="733">
        <v>140000000</v>
      </c>
      <c r="F7" s="733">
        <v>140000000</v>
      </c>
      <c r="G7" s="733">
        <v>140000000</v>
      </c>
    </row>
    <row r="8" spans="1:7" ht="15.75">
      <c r="A8" s="1547" t="s">
        <v>609</v>
      </c>
      <c r="B8" s="1548"/>
      <c r="C8" s="736">
        <f>'1.sz.m-önk.össze.bev'!K54</f>
        <v>10004115</v>
      </c>
      <c r="D8" s="736">
        <v>33000000</v>
      </c>
      <c r="E8" s="736">
        <v>0</v>
      </c>
      <c r="F8" s="736">
        <v>0</v>
      </c>
      <c r="G8" s="736">
        <v>0</v>
      </c>
    </row>
    <row r="9" spans="1:7" ht="15.75">
      <c r="A9" s="1547" t="s">
        <v>313</v>
      </c>
      <c r="B9" s="1548"/>
      <c r="C9" s="736">
        <f>'1.sz.m-önk.össze.bev'!K20</f>
        <v>2217020</v>
      </c>
      <c r="D9" s="736">
        <v>1060000</v>
      </c>
      <c r="E9" s="736">
        <v>1000000</v>
      </c>
      <c r="F9" s="736">
        <v>1000000</v>
      </c>
      <c r="G9" s="736">
        <v>1000000</v>
      </c>
    </row>
    <row r="10" spans="1:7" ht="16.5" thickBot="1">
      <c r="A10" s="1547" t="s">
        <v>427</v>
      </c>
      <c r="B10" s="1548"/>
      <c r="C10" s="738">
        <f>'1.sz.m-önk.össze.bev'!K25</f>
        <v>12508269</v>
      </c>
      <c r="D10" s="738">
        <v>12033812</v>
      </c>
      <c r="E10" s="738">
        <v>12000000</v>
      </c>
      <c r="F10" s="738">
        <v>12000000</v>
      </c>
      <c r="G10" s="738">
        <v>12000000</v>
      </c>
    </row>
    <row r="11" spans="1:7" ht="16.5" thickBot="1">
      <c r="A11" s="1521" t="s">
        <v>428</v>
      </c>
      <c r="B11" s="1522"/>
      <c r="C11" s="739">
        <f>SUM(C6:C10)</f>
        <v>185400340</v>
      </c>
      <c r="D11" s="739">
        <f>SUM(D6:D10)</f>
        <v>203593812</v>
      </c>
      <c r="E11" s="739">
        <f>SUM(E6:E10)</f>
        <v>170500000</v>
      </c>
      <c r="F11" s="739">
        <f>SUM(F6:F10)</f>
        <v>170500000</v>
      </c>
      <c r="G11" s="739">
        <f>SUM(G6:G10)</f>
        <v>170500000</v>
      </c>
    </row>
    <row r="12" spans="1:7" ht="16.5" thickBot="1">
      <c r="A12" s="1521" t="s">
        <v>610</v>
      </c>
      <c r="B12" s="1522"/>
      <c r="C12" s="739">
        <f>C11/2</f>
        <v>92700170</v>
      </c>
      <c r="D12" s="739">
        <f>D11/2</f>
        <v>101796906</v>
      </c>
      <c r="E12" s="739">
        <f>E11/2</f>
        <v>85250000</v>
      </c>
      <c r="F12" s="739">
        <f>F11/2</f>
        <v>85250000</v>
      </c>
      <c r="G12" s="739">
        <f>G11/2</f>
        <v>85250000</v>
      </c>
    </row>
    <row r="13" spans="1:7" ht="16.5" thickBot="1">
      <c r="A13" s="1521" t="s">
        <v>611</v>
      </c>
      <c r="B13" s="1522"/>
      <c r="C13" s="739">
        <v>0</v>
      </c>
      <c r="D13" s="739"/>
      <c r="E13" s="739">
        <v>0</v>
      </c>
      <c r="F13" s="739">
        <v>0</v>
      </c>
      <c r="G13" s="739">
        <v>0</v>
      </c>
    </row>
    <row r="14" spans="1:7" ht="16.5" thickBot="1">
      <c r="A14" s="1539" t="s">
        <v>612</v>
      </c>
      <c r="B14" s="1540"/>
      <c r="C14" s="1064">
        <v>0</v>
      </c>
      <c r="D14" s="1064"/>
      <c r="E14" s="1064">
        <v>0</v>
      </c>
      <c r="F14" s="1064">
        <v>0</v>
      </c>
      <c r="G14" s="1064">
        <v>0</v>
      </c>
    </row>
    <row r="15" spans="1:7" ht="16.5" thickBot="1">
      <c r="A15" s="1521" t="s">
        <v>613</v>
      </c>
      <c r="B15" s="1522"/>
      <c r="C15" s="739">
        <v>0</v>
      </c>
      <c r="D15" s="739"/>
      <c r="E15" s="739">
        <v>0</v>
      </c>
      <c r="F15" s="739">
        <v>0</v>
      </c>
      <c r="G15" s="739">
        <v>0</v>
      </c>
    </row>
    <row r="16" spans="1:7" ht="16.5" thickBot="1">
      <c r="A16" s="1537"/>
      <c r="B16" s="1543"/>
      <c r="C16" s="1543"/>
      <c r="D16" s="1543"/>
      <c r="E16" s="1543"/>
      <c r="F16" s="1543"/>
      <c r="G16" s="1544"/>
    </row>
    <row r="17" spans="1:7" ht="16.5" thickBot="1">
      <c r="A17" s="1521" t="s">
        <v>614</v>
      </c>
      <c r="B17" s="1522"/>
      <c r="C17" s="739"/>
      <c r="D17" s="739"/>
      <c r="E17" s="739"/>
      <c r="F17" s="739"/>
      <c r="G17" s="739"/>
    </row>
    <row r="18" spans="1:7" ht="16.5" thickBot="1">
      <c r="A18" s="1539" t="s">
        <v>615</v>
      </c>
      <c r="B18" s="1540"/>
      <c r="C18" s="1064"/>
      <c r="D18" s="1064">
        <v>0</v>
      </c>
      <c r="E18" s="1064">
        <v>0</v>
      </c>
      <c r="F18" s="1064">
        <v>0</v>
      </c>
      <c r="G18" s="1064">
        <v>0</v>
      </c>
    </row>
    <row r="19" spans="1:7" ht="16.5" thickBot="1">
      <c r="A19" s="1521" t="s">
        <v>616</v>
      </c>
      <c r="B19" s="1522"/>
      <c r="C19" s="739"/>
      <c r="D19" s="739">
        <v>0</v>
      </c>
      <c r="E19" s="739">
        <v>0</v>
      </c>
      <c r="F19" s="739">
        <v>0</v>
      </c>
      <c r="G19" s="739">
        <v>0</v>
      </c>
    </row>
    <row r="20" spans="1:7" ht="16.5" thickBot="1">
      <c r="A20" s="1521"/>
      <c r="B20" s="1522"/>
      <c r="C20" s="739"/>
      <c r="D20" s="739"/>
      <c r="E20" s="739"/>
      <c r="F20" s="739"/>
      <c r="G20" s="739"/>
    </row>
    <row r="21" spans="1:7" ht="16.5" thickBot="1">
      <c r="A21" s="1521" t="s">
        <v>617</v>
      </c>
      <c r="B21" s="1522"/>
      <c r="C21" s="739"/>
      <c r="D21" s="739"/>
      <c r="E21" s="739"/>
      <c r="F21" s="739"/>
      <c r="G21" s="739"/>
    </row>
    <row r="22" spans="1:8" ht="36" customHeight="1" thickBot="1">
      <c r="A22" s="1541" t="s">
        <v>618</v>
      </c>
      <c r="B22" s="1542"/>
      <c r="C22" s="739">
        <v>0</v>
      </c>
      <c r="D22" s="739">
        <f>755935*4</f>
        <v>3023740</v>
      </c>
      <c r="E22" s="739">
        <f>755935*4</f>
        <v>3023740</v>
      </c>
      <c r="F22" s="739">
        <f>2*755935+755931</f>
        <v>2267801</v>
      </c>
      <c r="G22" s="739">
        <v>0</v>
      </c>
      <c r="H22" s="1065"/>
    </row>
    <row r="23" spans="1:7" ht="34.5" customHeight="1" thickBot="1">
      <c r="A23" s="1541" t="s">
        <v>619</v>
      </c>
      <c r="B23" s="1542"/>
      <c r="C23" s="739">
        <v>106278</v>
      </c>
      <c r="D23" s="739">
        <f>3197227-3023740</f>
        <v>173487</v>
      </c>
      <c r="E23" s="739">
        <f>3115585-3023740</f>
        <v>91845</v>
      </c>
      <c r="F23" s="739">
        <f>1527179-1511870</f>
        <v>15309</v>
      </c>
      <c r="G23" s="739">
        <v>0</v>
      </c>
    </row>
    <row r="24" spans="1:7" ht="33.75" customHeight="1" thickBot="1">
      <c r="A24" s="1541" t="s">
        <v>620</v>
      </c>
      <c r="B24" s="1542"/>
      <c r="C24" s="739"/>
      <c r="D24" s="739"/>
      <c r="E24" s="739"/>
      <c r="F24" s="739"/>
      <c r="G24" s="739"/>
    </row>
    <row r="25" spans="1:7" ht="16.5" thickBot="1">
      <c r="A25" s="1521" t="s">
        <v>621</v>
      </c>
      <c r="B25" s="1522"/>
      <c r="C25" s="739">
        <f>SUM(C22:C24)</f>
        <v>106278</v>
      </c>
      <c r="D25" s="739">
        <f>SUM(D22:D24)</f>
        <v>3197227</v>
      </c>
      <c r="E25" s="739">
        <f>SUM(E22:E24)</f>
        <v>3115585</v>
      </c>
      <c r="F25" s="739">
        <f>SUM(F22:F24)</f>
        <v>2283110</v>
      </c>
      <c r="G25" s="739">
        <f>SUM(G22:G24)</f>
        <v>0</v>
      </c>
    </row>
    <row r="26" spans="1:7" ht="16.5" thickBot="1">
      <c r="A26" s="1537"/>
      <c r="B26" s="1538"/>
      <c r="C26" s="739"/>
      <c r="D26" s="739"/>
      <c r="E26" s="739"/>
      <c r="F26" s="739"/>
      <c r="G26" s="739"/>
    </row>
    <row r="27" spans="1:7" ht="16.5" thickBot="1">
      <c r="A27" s="1521" t="s">
        <v>622</v>
      </c>
      <c r="B27" s="1522"/>
      <c r="C27" s="739"/>
      <c r="D27" s="739"/>
      <c r="E27" s="739"/>
      <c r="F27" s="739"/>
      <c r="G27" s="739"/>
    </row>
    <row r="28" spans="1:7" ht="16.5" thickBot="1">
      <c r="A28" s="1539" t="s">
        <v>623</v>
      </c>
      <c r="B28" s="1540"/>
      <c r="C28" s="739">
        <v>0</v>
      </c>
      <c r="D28" s="739"/>
      <c r="E28" s="739"/>
      <c r="F28" s="739"/>
      <c r="G28" s="739"/>
    </row>
    <row r="29" spans="1:7" ht="16.5" thickBot="1">
      <c r="A29" s="1539" t="s">
        <v>624</v>
      </c>
      <c r="B29" s="1540"/>
      <c r="C29" s="739"/>
      <c r="D29" s="739"/>
      <c r="E29" s="739"/>
      <c r="F29" s="739"/>
      <c r="G29" s="739"/>
    </row>
    <row r="30" spans="1:7" ht="16.5" thickBot="1">
      <c r="A30" s="1539" t="s">
        <v>620</v>
      </c>
      <c r="B30" s="1540"/>
      <c r="C30" s="739"/>
      <c r="D30" s="739"/>
      <c r="E30" s="739"/>
      <c r="F30" s="739"/>
      <c r="G30" s="739"/>
    </row>
    <row r="31" spans="1:7" ht="16.5" thickBot="1">
      <c r="A31" s="1521" t="s">
        <v>625</v>
      </c>
      <c r="B31" s="1522"/>
      <c r="C31" s="739">
        <f>SUM(C28:C30)</f>
        <v>0</v>
      </c>
      <c r="D31" s="739">
        <f>SUM(D28:D30)</f>
        <v>0</v>
      </c>
      <c r="E31" s="739">
        <f>SUM(E28:E30)</f>
        <v>0</v>
      </c>
      <c r="F31" s="739">
        <f>SUM(F28:F30)</f>
        <v>0</v>
      </c>
      <c r="G31" s="739">
        <f>SUM(G28:G30)</f>
        <v>0</v>
      </c>
    </row>
    <row r="32" spans="1:7" ht="16.5" thickBot="1">
      <c r="A32" s="1521" t="s">
        <v>626</v>
      </c>
      <c r="B32" s="1522"/>
      <c r="C32" s="739">
        <f>C12-C31</f>
        <v>92700170</v>
      </c>
      <c r="D32" s="739">
        <f>D12-D31-D25</f>
        <v>98599679</v>
      </c>
      <c r="E32" s="739">
        <f>E12-E31-E25</f>
        <v>82134415</v>
      </c>
      <c r="F32" s="739">
        <f>F12-F31-F25</f>
        <v>82966890</v>
      </c>
      <c r="G32" s="739">
        <f>G12-G31-G25</f>
        <v>85250000</v>
      </c>
    </row>
  </sheetData>
  <sheetProtection/>
  <mergeCells count="32">
    <mergeCell ref="A1:G1"/>
    <mergeCell ref="A2:G2"/>
    <mergeCell ref="A3:G3"/>
    <mergeCell ref="C4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G16"/>
    <mergeCell ref="A17:B17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25:B25"/>
    <mergeCell ref="A26:B26"/>
    <mergeCell ref="A27:B27"/>
    <mergeCell ref="A28:B28"/>
    <mergeCell ref="A29:B29"/>
    <mergeCell ref="A30:B3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3">
      <selection activeCell="A24" sqref="A24"/>
    </sheetView>
  </sheetViews>
  <sheetFormatPr defaultColWidth="9.140625" defaultRowHeight="12.75"/>
  <cols>
    <col min="1" max="1" width="78.57421875" style="589" customWidth="1"/>
    <col min="2" max="2" width="15.7109375" style="589" customWidth="1"/>
    <col min="3" max="3" width="13.140625" style="589" hidden="1" customWidth="1"/>
    <col min="4" max="4" width="13.28125" style="589" hidden="1" customWidth="1"/>
    <col min="5" max="5" width="13.140625" style="589" hidden="1" customWidth="1"/>
    <col min="6" max="6" width="13.28125" style="589" hidden="1" customWidth="1"/>
    <col min="7" max="7" width="15.00390625" style="589" customWidth="1"/>
    <col min="8" max="8" width="15.421875" style="589" customWidth="1"/>
    <col min="9" max="9" width="12.421875" style="589" customWidth="1"/>
    <col min="10" max="10" width="13.421875" style="589" customWidth="1"/>
    <col min="11" max="11" width="12.140625" style="589" customWidth="1"/>
    <col min="12" max="12" width="8.8515625" style="589" customWidth="1"/>
    <col min="13" max="16384" width="9.140625" style="589" customWidth="1"/>
  </cols>
  <sheetData>
    <row r="1" spans="1:7" ht="21" customHeight="1">
      <c r="A1" s="1555" t="s">
        <v>631</v>
      </c>
      <c r="B1" s="1555"/>
      <c r="C1" s="1555"/>
      <c r="D1" s="1555"/>
      <c r="E1" s="1555"/>
      <c r="F1" s="1555"/>
      <c r="G1" s="1555"/>
    </row>
    <row r="2" spans="1:7" s="590" customFormat="1" ht="51.75" customHeight="1">
      <c r="A2" s="1554" t="s">
        <v>533</v>
      </c>
      <c r="B2" s="1554"/>
      <c r="C2" s="1554"/>
      <c r="D2" s="1554"/>
      <c r="E2" s="1554"/>
      <c r="F2" s="1554"/>
      <c r="G2" s="1554"/>
    </row>
    <row r="3" spans="1:2" ht="15.75" customHeight="1" thickBot="1">
      <c r="A3" s="591"/>
      <c r="B3" s="910" t="s">
        <v>505</v>
      </c>
    </row>
    <row r="4" spans="1:11" s="593" customFormat="1" ht="24" customHeight="1" thickBot="1">
      <c r="A4" s="592" t="s">
        <v>265</v>
      </c>
      <c r="B4" s="611" t="s">
        <v>266</v>
      </c>
      <c r="C4" s="611" t="s">
        <v>236</v>
      </c>
      <c r="D4" s="611" t="s">
        <v>241</v>
      </c>
      <c r="E4" s="611" t="s">
        <v>244</v>
      </c>
      <c r="F4" s="611" t="s">
        <v>490</v>
      </c>
      <c r="G4" s="611" t="s">
        <v>496</v>
      </c>
      <c r="H4" s="1066" t="s">
        <v>627</v>
      </c>
      <c r="I4" s="1066" t="s">
        <v>628</v>
      </c>
      <c r="J4" s="1066" t="s">
        <v>629</v>
      </c>
      <c r="K4" s="1066" t="s">
        <v>630</v>
      </c>
    </row>
    <row r="5" spans="1:11" s="595" customFormat="1" ht="21" customHeight="1">
      <c r="A5" s="594" t="s">
        <v>1130</v>
      </c>
      <c r="B5" s="612">
        <v>73315221</v>
      </c>
      <c r="C5" s="612">
        <v>73315221</v>
      </c>
      <c r="D5" s="612">
        <v>73315221</v>
      </c>
      <c r="E5" s="612">
        <v>73315221</v>
      </c>
      <c r="F5" s="612">
        <v>73315221</v>
      </c>
      <c r="G5" s="612">
        <v>73315221</v>
      </c>
      <c r="H5" s="612">
        <v>73315221</v>
      </c>
      <c r="I5" s="612">
        <v>73315221</v>
      </c>
      <c r="J5" s="612">
        <v>73315221</v>
      </c>
      <c r="K5" s="613">
        <f>-(H5-I5)</f>
        <v>0</v>
      </c>
    </row>
    <row r="6" spans="1:11" s="595" customFormat="1" ht="21" customHeight="1">
      <c r="A6" s="596" t="s">
        <v>267</v>
      </c>
      <c r="B6" s="613">
        <v>0</v>
      </c>
      <c r="C6" s="613">
        <v>0</v>
      </c>
      <c r="D6" s="613">
        <v>0</v>
      </c>
      <c r="E6" s="613">
        <v>0</v>
      </c>
      <c r="F6" s="613">
        <v>0</v>
      </c>
      <c r="G6" s="613">
        <v>0</v>
      </c>
      <c r="H6" s="613">
        <v>0</v>
      </c>
      <c r="I6" s="613">
        <v>0</v>
      </c>
      <c r="J6" s="613">
        <v>0</v>
      </c>
      <c r="K6" s="613">
        <f>-(H6-I6)</f>
        <v>0</v>
      </c>
    </row>
    <row r="7" spans="1:11" s="595" customFormat="1" ht="21" customHeight="1">
      <c r="A7" s="596" t="s">
        <v>268</v>
      </c>
      <c r="B7" s="613">
        <v>0</v>
      </c>
      <c r="C7" s="613">
        <v>0</v>
      </c>
      <c r="D7" s="613">
        <v>0</v>
      </c>
      <c r="E7" s="613">
        <v>0</v>
      </c>
      <c r="F7" s="613">
        <v>0</v>
      </c>
      <c r="G7" s="613">
        <v>0</v>
      </c>
      <c r="H7" s="613">
        <v>0</v>
      </c>
      <c r="I7" s="613">
        <v>0</v>
      </c>
      <c r="J7" s="613">
        <v>0</v>
      </c>
      <c r="K7" s="613">
        <f aca="true" t="shared" si="0" ref="K7:K14">-(H7-I7)</f>
        <v>0</v>
      </c>
    </row>
    <row r="8" spans="1:11" s="595" customFormat="1" ht="21" customHeight="1">
      <c r="A8" s="596" t="s">
        <v>269</v>
      </c>
      <c r="B8" s="613">
        <v>0</v>
      </c>
      <c r="C8" s="613">
        <v>0</v>
      </c>
      <c r="D8" s="613">
        <v>0</v>
      </c>
      <c r="E8" s="613">
        <v>0</v>
      </c>
      <c r="F8" s="613">
        <v>0</v>
      </c>
      <c r="G8" s="613">
        <v>0</v>
      </c>
      <c r="H8" s="613">
        <v>0</v>
      </c>
      <c r="I8" s="613">
        <v>0</v>
      </c>
      <c r="J8" s="613">
        <v>0</v>
      </c>
      <c r="K8" s="613">
        <f t="shared" si="0"/>
        <v>0</v>
      </c>
    </row>
    <row r="9" spans="1:11" s="595" customFormat="1" ht="21" customHeight="1">
      <c r="A9" s="597" t="s">
        <v>270</v>
      </c>
      <c r="B9" s="613">
        <v>0</v>
      </c>
      <c r="C9" s="613">
        <v>0</v>
      </c>
      <c r="D9" s="613">
        <v>0</v>
      </c>
      <c r="E9" s="613">
        <v>0</v>
      </c>
      <c r="F9" s="613">
        <v>0</v>
      </c>
      <c r="G9" s="613">
        <v>0</v>
      </c>
      <c r="H9" s="613">
        <v>0</v>
      </c>
      <c r="I9" s="613">
        <v>0</v>
      </c>
      <c r="J9" s="613">
        <v>0</v>
      </c>
      <c r="K9" s="613">
        <f t="shared" si="0"/>
        <v>0</v>
      </c>
    </row>
    <row r="10" spans="1:11" s="595" customFormat="1" ht="21" customHeight="1">
      <c r="A10" s="594" t="s">
        <v>271</v>
      </c>
      <c r="B10" s="614">
        <f aca="true" t="shared" si="1" ref="B10:J10">SUM(B6:B9)</f>
        <v>0</v>
      </c>
      <c r="C10" s="614">
        <f t="shared" si="1"/>
        <v>0</v>
      </c>
      <c r="D10" s="614">
        <f t="shared" si="1"/>
        <v>0</v>
      </c>
      <c r="E10" s="614">
        <f t="shared" si="1"/>
        <v>0</v>
      </c>
      <c r="F10" s="614">
        <f t="shared" si="1"/>
        <v>0</v>
      </c>
      <c r="G10" s="614">
        <f t="shared" si="1"/>
        <v>0</v>
      </c>
      <c r="H10" s="614">
        <f t="shared" si="1"/>
        <v>0</v>
      </c>
      <c r="I10" s="614">
        <f t="shared" si="1"/>
        <v>0</v>
      </c>
      <c r="J10" s="614">
        <f t="shared" si="1"/>
        <v>0</v>
      </c>
      <c r="K10" s="613">
        <f t="shared" si="0"/>
        <v>0</v>
      </c>
    </row>
    <row r="11" spans="1:11" s="595" customFormat="1" ht="21" customHeight="1" hidden="1">
      <c r="A11" s="598" t="s">
        <v>272</v>
      </c>
      <c r="B11" s="614"/>
      <c r="C11" s="614"/>
      <c r="D11" s="614"/>
      <c r="E11" s="614"/>
      <c r="F11" s="614"/>
      <c r="G11" s="614"/>
      <c r="H11" s="614"/>
      <c r="I11" s="614"/>
      <c r="J11" s="614"/>
      <c r="K11" s="613">
        <f t="shared" si="0"/>
        <v>0</v>
      </c>
    </row>
    <row r="12" spans="1:11" s="595" customFormat="1" ht="21" customHeight="1">
      <c r="A12" s="594" t="s">
        <v>356</v>
      </c>
      <c r="B12" s="614">
        <v>0</v>
      </c>
      <c r="C12" s="614">
        <v>0</v>
      </c>
      <c r="D12" s="614">
        <v>0</v>
      </c>
      <c r="E12" s="614">
        <v>0</v>
      </c>
      <c r="F12" s="614">
        <v>0</v>
      </c>
      <c r="G12" s="614">
        <v>0</v>
      </c>
      <c r="H12" s="614">
        <v>0</v>
      </c>
      <c r="I12" s="614">
        <v>0</v>
      </c>
      <c r="J12" s="614">
        <v>0</v>
      </c>
      <c r="K12" s="613">
        <f t="shared" si="0"/>
        <v>0</v>
      </c>
    </row>
    <row r="13" spans="1:11" s="595" customFormat="1" ht="21" customHeight="1" hidden="1" thickBot="1">
      <c r="A13" s="594" t="s">
        <v>276</v>
      </c>
      <c r="B13" s="645">
        <v>0</v>
      </c>
      <c r="C13" s="645">
        <v>0</v>
      </c>
      <c r="D13" s="645">
        <v>0</v>
      </c>
      <c r="E13" s="645">
        <v>0</v>
      </c>
      <c r="F13" s="645">
        <v>0</v>
      </c>
      <c r="G13" s="645">
        <v>0</v>
      </c>
      <c r="H13" s="645">
        <v>0</v>
      </c>
      <c r="I13" s="645">
        <v>0</v>
      </c>
      <c r="J13" s="645">
        <v>0</v>
      </c>
      <c r="K13" s="613">
        <f t="shared" si="0"/>
        <v>0</v>
      </c>
    </row>
    <row r="14" spans="1:11" s="595" customFormat="1" ht="21" customHeight="1" thickBot="1">
      <c r="A14" s="904" t="s">
        <v>475</v>
      </c>
      <c r="B14" s="870">
        <v>559943</v>
      </c>
      <c r="C14" s="870">
        <v>559943</v>
      </c>
      <c r="D14" s="870">
        <v>559943</v>
      </c>
      <c r="E14" s="870">
        <v>559943</v>
      </c>
      <c r="F14" s="870">
        <v>559943</v>
      </c>
      <c r="G14" s="870">
        <v>559943</v>
      </c>
      <c r="H14" s="870">
        <v>559943</v>
      </c>
      <c r="I14" s="870">
        <v>559943</v>
      </c>
      <c r="J14" s="870">
        <v>559943</v>
      </c>
      <c r="K14" s="613">
        <f t="shared" si="0"/>
        <v>0</v>
      </c>
    </row>
    <row r="15" spans="1:11" s="601" customFormat="1" ht="24.75" customHeight="1" thickBot="1">
      <c r="A15" s="600" t="s">
        <v>1131</v>
      </c>
      <c r="B15" s="615">
        <f>B5+B10-B11+B12+B13+B14</f>
        <v>73875164</v>
      </c>
      <c r="C15" s="615">
        <f>C5+C10-C11+C12+C13+C14</f>
        <v>73875164</v>
      </c>
      <c r="D15" s="615">
        <f>D5+D10-D11+D12+D13+D14</f>
        <v>73875164</v>
      </c>
      <c r="E15" s="615">
        <f>E5+E10-E11+E12+E13+E14</f>
        <v>73875164</v>
      </c>
      <c r="F15" s="615">
        <f aca="true" t="shared" si="2" ref="F15:K15">F5+F10-F11+F12+F13+F14</f>
        <v>73875164</v>
      </c>
      <c r="G15" s="615">
        <f t="shared" si="2"/>
        <v>73875164</v>
      </c>
      <c r="H15" s="615">
        <f t="shared" si="2"/>
        <v>73875164</v>
      </c>
      <c r="I15" s="615">
        <f t="shared" si="2"/>
        <v>73875164</v>
      </c>
      <c r="J15" s="615">
        <f t="shared" si="2"/>
        <v>73875164</v>
      </c>
      <c r="K15" s="615">
        <f t="shared" si="2"/>
        <v>0</v>
      </c>
    </row>
    <row r="16" spans="1:11" ht="24.75" customHeight="1">
      <c r="A16" s="602" t="s">
        <v>273</v>
      </c>
      <c r="B16" s="612">
        <v>32185000</v>
      </c>
      <c r="C16" s="612">
        <v>32185000</v>
      </c>
      <c r="D16" s="612">
        <v>32185000</v>
      </c>
      <c r="E16" s="612">
        <v>32185000</v>
      </c>
      <c r="F16" s="612">
        <f>32185000+861600+21000</f>
        <v>33067600</v>
      </c>
      <c r="G16" s="612">
        <f>32185000+861600+21000</f>
        <v>33067600</v>
      </c>
      <c r="H16" s="612">
        <f>32185000+861600+21000</f>
        <v>33067600</v>
      </c>
      <c r="I16" s="612">
        <f>32185000+861600+21000</f>
        <v>33067600</v>
      </c>
      <c r="J16" s="612">
        <f>32185000+861600+21000</f>
        <v>33067600</v>
      </c>
      <c r="K16" s="613">
        <f>-(H16-I16)</f>
        <v>0</v>
      </c>
    </row>
    <row r="17" spans="1:11" ht="24.75" customHeight="1" thickBot="1">
      <c r="A17" s="598" t="s">
        <v>274</v>
      </c>
      <c r="B17" s="614">
        <v>4560000</v>
      </c>
      <c r="C17" s="614">
        <v>4560000</v>
      </c>
      <c r="D17" s="614">
        <v>4560000</v>
      </c>
      <c r="E17" s="614">
        <v>4560000</v>
      </c>
      <c r="F17" s="614">
        <f>4560000+213333</f>
        <v>4773333</v>
      </c>
      <c r="G17" s="614">
        <v>4746666</v>
      </c>
      <c r="H17" s="614">
        <v>4746666</v>
      </c>
      <c r="I17" s="614">
        <v>4746666</v>
      </c>
      <c r="J17" s="614">
        <v>4746666</v>
      </c>
      <c r="K17" s="613">
        <f>-(H17-I17)</f>
        <v>0</v>
      </c>
    </row>
    <row r="18" spans="1:11" s="601" customFormat="1" ht="24.75" customHeight="1" thickBot="1">
      <c r="A18" s="603" t="s">
        <v>357</v>
      </c>
      <c r="B18" s="616">
        <f>SUM(B16:B17)</f>
        <v>36745000</v>
      </c>
      <c r="C18" s="616">
        <f>SUM(C16:C17)</f>
        <v>36745000</v>
      </c>
      <c r="D18" s="616">
        <f>SUM(D16:D17)</f>
        <v>36745000</v>
      </c>
      <c r="E18" s="616">
        <f>SUM(E16:E17)</f>
        <v>36745000</v>
      </c>
      <c r="F18" s="616">
        <f aca="true" t="shared" si="3" ref="F18:K18">SUM(F16:F17)</f>
        <v>37840933</v>
      </c>
      <c r="G18" s="616">
        <f t="shared" si="3"/>
        <v>37814266</v>
      </c>
      <c r="H18" s="616">
        <f t="shared" si="3"/>
        <v>37814266</v>
      </c>
      <c r="I18" s="616">
        <f t="shared" si="3"/>
        <v>37814266</v>
      </c>
      <c r="J18" s="616">
        <f t="shared" si="3"/>
        <v>37814266</v>
      </c>
      <c r="K18" s="616">
        <f t="shared" si="3"/>
        <v>0</v>
      </c>
    </row>
    <row r="19" spans="1:11" ht="24.75" customHeight="1">
      <c r="A19" s="604" t="s">
        <v>275</v>
      </c>
      <c r="B19" s="617">
        <v>0</v>
      </c>
      <c r="C19" s="617">
        <v>0</v>
      </c>
      <c r="D19" s="617">
        <v>0</v>
      </c>
      <c r="E19" s="617">
        <v>0</v>
      </c>
      <c r="F19" s="617">
        <v>0</v>
      </c>
      <c r="G19" s="617">
        <v>0</v>
      </c>
      <c r="H19" s="617">
        <v>0</v>
      </c>
      <c r="I19" s="617">
        <v>0</v>
      </c>
      <c r="J19" s="617">
        <v>0</v>
      </c>
      <c r="K19" s="617">
        <v>0</v>
      </c>
    </row>
    <row r="20" spans="1:11" ht="24.75" customHeight="1">
      <c r="A20" s="596" t="s">
        <v>526</v>
      </c>
      <c r="B20" s="618">
        <v>21000000</v>
      </c>
      <c r="C20" s="618">
        <v>21000000</v>
      </c>
      <c r="D20" s="618">
        <v>21000000</v>
      </c>
      <c r="E20" s="618">
        <v>21000000</v>
      </c>
      <c r="F20" s="618">
        <v>21000000</v>
      </c>
      <c r="G20" s="618">
        <v>21000000</v>
      </c>
      <c r="H20" s="618">
        <v>21000000</v>
      </c>
      <c r="I20" s="618">
        <v>21000000</v>
      </c>
      <c r="J20" s="618">
        <v>21000000</v>
      </c>
      <c r="K20" s="613">
        <f aca="true" t="shared" si="4" ref="K20:K25">-(H20-I20)</f>
        <v>0</v>
      </c>
    </row>
    <row r="21" spans="1:11" ht="24.75" customHeight="1" hidden="1">
      <c r="A21" s="597" t="s">
        <v>277</v>
      </c>
      <c r="B21" s="618"/>
      <c r="C21" s="618"/>
      <c r="D21" s="618"/>
      <c r="E21" s="618"/>
      <c r="F21" s="618"/>
      <c r="G21" s="618"/>
      <c r="H21" s="618"/>
      <c r="I21" s="618"/>
      <c r="J21" s="618"/>
      <c r="K21" s="613">
        <f t="shared" si="4"/>
        <v>0</v>
      </c>
    </row>
    <row r="22" spans="1:11" ht="24.75" customHeight="1">
      <c r="A22" s="596" t="s">
        <v>527</v>
      </c>
      <c r="B22" s="618">
        <v>19060448</v>
      </c>
      <c r="C22" s="618">
        <v>19060448</v>
      </c>
      <c r="D22" s="618">
        <v>19060448</v>
      </c>
      <c r="E22" s="618">
        <v>19060448</v>
      </c>
      <c r="F22" s="618">
        <v>19060448</v>
      </c>
      <c r="G22" s="618">
        <v>19060448</v>
      </c>
      <c r="H22" s="618">
        <v>19060448</v>
      </c>
      <c r="I22" s="618">
        <v>18938656</v>
      </c>
      <c r="J22" s="618">
        <v>18938656</v>
      </c>
      <c r="K22" s="613">
        <f t="shared" si="4"/>
        <v>-121792</v>
      </c>
    </row>
    <row r="23" spans="1:11" ht="24.75" customHeight="1">
      <c r="A23" s="596" t="s">
        <v>1132</v>
      </c>
      <c r="B23" s="618">
        <v>48633000</v>
      </c>
      <c r="C23" s="618">
        <v>48633000</v>
      </c>
      <c r="D23" s="618">
        <v>48633000</v>
      </c>
      <c r="E23" s="618">
        <v>48633000</v>
      </c>
      <c r="F23" s="618">
        <f>48633000-3393000</f>
        <v>45240000</v>
      </c>
      <c r="G23" s="618">
        <f>48633000-3393000-942500</f>
        <v>44297500</v>
      </c>
      <c r="H23" s="618">
        <f>48633000-3393000-942500</f>
        <v>44297500</v>
      </c>
      <c r="I23" s="618">
        <v>42978000</v>
      </c>
      <c r="J23" s="618">
        <v>42978000</v>
      </c>
      <c r="K23" s="613">
        <f t="shared" si="4"/>
        <v>-1319500</v>
      </c>
    </row>
    <row r="24" spans="1:11" ht="24.75" customHeight="1">
      <c r="A24" s="597" t="s">
        <v>529</v>
      </c>
      <c r="B24" s="618">
        <v>9413820</v>
      </c>
      <c r="C24" s="618">
        <v>9413820</v>
      </c>
      <c r="D24" s="618">
        <v>9413820</v>
      </c>
      <c r="E24" s="618">
        <v>9413820</v>
      </c>
      <c r="F24" s="618">
        <v>9413820</v>
      </c>
      <c r="G24" s="618">
        <f>9413820-348660</f>
        <v>9065160</v>
      </c>
      <c r="H24" s="618">
        <f>9413820-348660</f>
        <v>9065160</v>
      </c>
      <c r="I24" s="618">
        <v>10111140</v>
      </c>
      <c r="J24" s="618">
        <v>10111140</v>
      </c>
      <c r="K24" s="613">
        <f t="shared" si="4"/>
        <v>1045980</v>
      </c>
    </row>
    <row r="25" spans="1:11" ht="24.75" customHeight="1">
      <c r="A25" s="597" t="s">
        <v>528</v>
      </c>
      <c r="B25" s="618">
        <v>2125500</v>
      </c>
      <c r="C25" s="618">
        <v>2125500</v>
      </c>
      <c r="D25" s="618">
        <v>2125500</v>
      </c>
      <c r="E25" s="618">
        <v>2125500</v>
      </c>
      <c r="F25" s="618">
        <f>2125500-654000+436000</f>
        <v>1907500</v>
      </c>
      <c r="G25" s="618">
        <f>2125500-654000+436000</f>
        <v>1907500</v>
      </c>
      <c r="H25" s="618">
        <f>2125500-654000+436000</f>
        <v>1907500</v>
      </c>
      <c r="I25" s="618">
        <f>436000+1798500</f>
        <v>2234500</v>
      </c>
      <c r="J25" s="618">
        <f>436000+1798500</f>
        <v>2234500</v>
      </c>
      <c r="K25" s="613">
        <f t="shared" si="4"/>
        <v>327000</v>
      </c>
    </row>
    <row r="26" spans="1:11" s="605" customFormat="1" ht="24.75" customHeight="1">
      <c r="A26" s="640" t="s">
        <v>278</v>
      </c>
      <c r="B26" s="641">
        <f aca="true" t="shared" si="5" ref="B26:G26">SUM(B20,B22:B25)</f>
        <v>100232768</v>
      </c>
      <c r="C26" s="641">
        <f t="shared" si="5"/>
        <v>100232768</v>
      </c>
      <c r="D26" s="641">
        <f t="shared" si="5"/>
        <v>100232768</v>
      </c>
      <c r="E26" s="641">
        <f t="shared" si="5"/>
        <v>100232768</v>
      </c>
      <c r="F26" s="641">
        <f t="shared" si="5"/>
        <v>96621768</v>
      </c>
      <c r="G26" s="641">
        <f t="shared" si="5"/>
        <v>95330608</v>
      </c>
      <c r="H26" s="641">
        <f>SUM(H20,H22:H25)</f>
        <v>95330608</v>
      </c>
      <c r="I26" s="641">
        <f>SUM(I20,I22:I25)</f>
        <v>95262296</v>
      </c>
      <c r="J26" s="641">
        <f>SUM(J20,J22:J25)</f>
        <v>95262296</v>
      </c>
      <c r="K26" s="641">
        <f>SUM(K20,K22:K25)</f>
        <v>-68312</v>
      </c>
    </row>
    <row r="27" spans="1:11" s="605" customFormat="1" ht="24.75" customHeight="1">
      <c r="A27" s="642" t="s">
        <v>360</v>
      </c>
      <c r="B27" s="618">
        <v>11962560</v>
      </c>
      <c r="C27" s="618">
        <v>11962560</v>
      </c>
      <c r="D27" s="618">
        <v>11962560</v>
      </c>
      <c r="E27" s="618">
        <v>11962560</v>
      </c>
      <c r="F27" s="618">
        <v>11962560</v>
      </c>
      <c r="G27" s="618">
        <f>11962560-1093440</f>
        <v>10869120</v>
      </c>
      <c r="H27" s="618">
        <f>11962560-1093440</f>
        <v>10869120</v>
      </c>
      <c r="I27" s="618">
        <f>11962560-1093440</f>
        <v>10869120</v>
      </c>
      <c r="J27" s="618">
        <f>11962560-1093440</f>
        <v>10869120</v>
      </c>
      <c r="K27" s="613">
        <f>-(H27-I27)</f>
        <v>0</v>
      </c>
    </row>
    <row r="28" spans="1:11" s="605" customFormat="1" ht="24.75" customHeight="1">
      <c r="A28" s="642" t="s">
        <v>359</v>
      </c>
      <c r="B28" s="618">
        <v>2987688</v>
      </c>
      <c r="C28" s="618">
        <v>2987688</v>
      </c>
      <c r="D28" s="618">
        <v>2987688</v>
      </c>
      <c r="E28" s="618">
        <v>2987688</v>
      </c>
      <c r="F28" s="618">
        <v>2987688</v>
      </c>
      <c r="G28" s="618">
        <f>2987688+40181</f>
        <v>3027869</v>
      </c>
      <c r="H28" s="618">
        <f>2987688+40181</f>
        <v>3027869</v>
      </c>
      <c r="I28" s="618">
        <f>2987688+40181</f>
        <v>3027869</v>
      </c>
      <c r="J28" s="618">
        <f>2987688+40181</f>
        <v>3027869</v>
      </c>
      <c r="K28" s="613">
        <f>-(H28-I28)</f>
        <v>0</v>
      </c>
    </row>
    <row r="29" spans="1:11" s="605" customFormat="1" ht="24.75" customHeight="1">
      <c r="A29" s="905" t="s">
        <v>530</v>
      </c>
      <c r="B29" s="906">
        <v>644670</v>
      </c>
      <c r="C29" s="906">
        <v>644670</v>
      </c>
      <c r="D29" s="906">
        <v>644670</v>
      </c>
      <c r="E29" s="906">
        <v>644670</v>
      </c>
      <c r="F29" s="906">
        <f>644670-22230</f>
        <v>622440</v>
      </c>
      <c r="G29" s="906">
        <f>644670-22230-572850</f>
        <v>49590</v>
      </c>
      <c r="H29" s="906">
        <f>644670-22230-572850</f>
        <v>49590</v>
      </c>
      <c r="I29" s="906">
        <f>644670-22230-572850-8550</f>
        <v>41040</v>
      </c>
      <c r="J29" s="906">
        <f>644670-22230-572850-8550</f>
        <v>41040</v>
      </c>
      <c r="K29" s="613">
        <f>-(H29-I29)</f>
        <v>-8550</v>
      </c>
    </row>
    <row r="30" spans="1:11" s="605" customFormat="1" ht="24.75" customHeight="1" thickBot="1">
      <c r="A30" s="643" t="s">
        <v>358</v>
      </c>
      <c r="B30" s="644">
        <f aca="true" t="shared" si="6" ref="B30:G30">SUM(B27:B29)</f>
        <v>15594918</v>
      </c>
      <c r="C30" s="644">
        <f t="shared" si="6"/>
        <v>15594918</v>
      </c>
      <c r="D30" s="644">
        <f t="shared" si="6"/>
        <v>15594918</v>
      </c>
      <c r="E30" s="644">
        <f t="shared" si="6"/>
        <v>15594918</v>
      </c>
      <c r="F30" s="644">
        <f t="shared" si="6"/>
        <v>15572688</v>
      </c>
      <c r="G30" s="644">
        <f t="shared" si="6"/>
        <v>13946579</v>
      </c>
      <c r="H30" s="644">
        <f>SUM(H27:H29)</f>
        <v>13946579</v>
      </c>
      <c r="I30" s="644">
        <f>SUM(I27:I29)</f>
        <v>13938029</v>
      </c>
      <c r="J30" s="644">
        <f>SUM(J27:J29)</f>
        <v>13938029</v>
      </c>
      <c r="K30" s="644">
        <f>SUM(K27:K29)</f>
        <v>-8550</v>
      </c>
    </row>
    <row r="31" spans="1:11" s="605" customFormat="1" ht="24.75" customHeight="1" thickBot="1">
      <c r="A31" s="871" t="s">
        <v>476</v>
      </c>
      <c r="B31" s="872"/>
      <c r="C31" s="872">
        <v>1608864</v>
      </c>
      <c r="D31" s="872">
        <f>1608864+2014678</f>
        <v>3623542</v>
      </c>
      <c r="E31" s="872">
        <f>1608864+2014678+1527327</f>
        <v>5150869</v>
      </c>
      <c r="F31" s="872">
        <f>1608864+2014678+1527327+1655398</f>
        <v>6806267</v>
      </c>
      <c r="G31" s="872">
        <f>1608864+2014678+1527327+1655398</f>
        <v>6806267</v>
      </c>
      <c r="H31" s="872">
        <f>1608864+2014678+1527327+1655398</f>
        <v>6806267</v>
      </c>
      <c r="I31" s="872">
        <v>6590864</v>
      </c>
      <c r="J31" s="872">
        <v>6590864</v>
      </c>
      <c r="K31" s="613">
        <f>-(H31-I31)</f>
        <v>-215403</v>
      </c>
    </row>
    <row r="32" spans="1:11" s="605" customFormat="1" ht="24.75" customHeight="1" thickBot="1">
      <c r="A32" s="871" t="s">
        <v>540</v>
      </c>
      <c r="B32" s="872"/>
      <c r="C32" s="872">
        <f>770255+709443</f>
        <v>1479698</v>
      </c>
      <c r="D32" s="872">
        <f>1479698+2935279</f>
        <v>4414977</v>
      </c>
      <c r="E32" s="872">
        <f>1479698+2935279+2264049</f>
        <v>6679026</v>
      </c>
      <c r="F32" s="872">
        <f>1479698+2935279+2264049+742918</f>
        <v>7421944</v>
      </c>
      <c r="G32" s="872">
        <f>1479698+2935279+2264049+742918+703975+731573</f>
        <v>8857492</v>
      </c>
      <c r="H32" s="872">
        <f>1479698+2935279+2264049+742918+703975+731573</f>
        <v>8857492</v>
      </c>
      <c r="I32" s="872">
        <f>1479698+2935279+2264049+742918+703975+731573</f>
        <v>8857492</v>
      </c>
      <c r="J32" s="872">
        <f>1479698+2935279+2264049+742918+703975+731573</f>
        <v>8857492</v>
      </c>
      <c r="K32" s="613">
        <f>-(H32-I32)</f>
        <v>0</v>
      </c>
    </row>
    <row r="33" spans="1:11" s="606" customFormat="1" ht="24.75" customHeight="1" thickBot="1">
      <c r="A33" s="603" t="s">
        <v>361</v>
      </c>
      <c r="B33" s="616">
        <f>B19+B26+B30</f>
        <v>115827686</v>
      </c>
      <c r="C33" s="616">
        <f aca="true" t="shared" si="7" ref="C33:I33">C19+C26+C30+C31+C32</f>
        <v>118916248</v>
      </c>
      <c r="D33" s="616">
        <f t="shared" si="7"/>
        <v>123866205</v>
      </c>
      <c r="E33" s="616">
        <f t="shared" si="7"/>
        <v>127657581</v>
      </c>
      <c r="F33" s="616">
        <f t="shared" si="7"/>
        <v>126422667</v>
      </c>
      <c r="G33" s="616">
        <f t="shared" si="7"/>
        <v>124940946</v>
      </c>
      <c r="H33" s="616">
        <f t="shared" si="7"/>
        <v>124940946</v>
      </c>
      <c r="I33" s="616">
        <f t="shared" si="7"/>
        <v>124648681</v>
      </c>
      <c r="J33" s="616">
        <f>J19+J26+J30+J31+J32</f>
        <v>124648681</v>
      </c>
      <c r="K33" s="616">
        <f>K19+K26+K30+K31</f>
        <v>-292265</v>
      </c>
    </row>
    <row r="34" spans="1:11" s="605" customFormat="1" ht="24.75" customHeight="1" thickBot="1">
      <c r="A34" s="607" t="s">
        <v>362</v>
      </c>
      <c r="B34" s="619">
        <v>3056340</v>
      </c>
      <c r="C34" s="619">
        <v>3056340</v>
      </c>
      <c r="D34" s="619">
        <v>3056340</v>
      </c>
      <c r="E34" s="619">
        <v>3056340</v>
      </c>
      <c r="F34" s="619">
        <v>3056340</v>
      </c>
      <c r="G34" s="619">
        <v>3056340</v>
      </c>
      <c r="H34" s="619">
        <v>3056340</v>
      </c>
      <c r="I34" s="619">
        <v>3056340</v>
      </c>
      <c r="J34" s="619">
        <v>3056340</v>
      </c>
      <c r="K34" s="613">
        <f aca="true" t="shared" si="8" ref="K34:K49">-(H34-I34)</f>
        <v>0</v>
      </c>
    </row>
    <row r="35" spans="1:11" ht="24.75" customHeight="1" hidden="1">
      <c r="A35" s="598" t="s">
        <v>279</v>
      </c>
      <c r="B35" s="620"/>
      <c r="C35" s="620"/>
      <c r="D35" s="620"/>
      <c r="E35" s="620"/>
      <c r="F35" s="620"/>
      <c r="G35" s="620"/>
      <c r="H35" s="620"/>
      <c r="I35" s="620"/>
      <c r="J35" s="620"/>
      <c r="K35" s="613">
        <f t="shared" si="8"/>
        <v>0</v>
      </c>
    </row>
    <row r="36" spans="1:11" ht="24.75" customHeight="1" hidden="1">
      <c r="A36" s="599" t="s">
        <v>368</v>
      </c>
      <c r="B36" s="621"/>
      <c r="C36" s="621"/>
      <c r="D36" s="621"/>
      <c r="E36" s="621"/>
      <c r="F36" s="621"/>
      <c r="G36" s="621"/>
      <c r="H36" s="621"/>
      <c r="I36" s="621"/>
      <c r="J36" s="621"/>
      <c r="K36" s="613">
        <f t="shared" si="8"/>
        <v>0</v>
      </c>
    </row>
    <row r="37" spans="1:11" ht="24.75" customHeight="1">
      <c r="A37" s="907" t="s">
        <v>531</v>
      </c>
      <c r="B37" s="818">
        <v>2000000</v>
      </c>
      <c r="C37" s="818">
        <v>2000000</v>
      </c>
      <c r="D37" s="818">
        <v>2000000</v>
      </c>
      <c r="E37" s="818">
        <v>2000000</v>
      </c>
      <c r="F37" s="818">
        <v>2000000</v>
      </c>
      <c r="G37" s="818">
        <v>2000000</v>
      </c>
      <c r="H37" s="818">
        <v>2000000</v>
      </c>
      <c r="I37" s="818">
        <v>2000000</v>
      </c>
      <c r="J37" s="818">
        <v>2000000</v>
      </c>
      <c r="K37" s="613">
        <f t="shared" si="8"/>
        <v>0</v>
      </c>
    </row>
    <row r="38" spans="1:11" ht="33.75" customHeight="1">
      <c r="A38" s="908" t="s">
        <v>1129</v>
      </c>
      <c r="B38" s="818">
        <v>6000000</v>
      </c>
      <c r="C38" s="818">
        <v>6000000</v>
      </c>
      <c r="D38" s="818">
        <v>6000000</v>
      </c>
      <c r="E38" s="818">
        <v>6000000</v>
      </c>
      <c r="F38" s="818">
        <v>6000000</v>
      </c>
      <c r="G38" s="818">
        <f>6000000-600000</f>
        <v>5400000</v>
      </c>
      <c r="H38" s="818">
        <f>6000000-600000</f>
        <v>5400000</v>
      </c>
      <c r="I38" s="818">
        <f>6000000-600000</f>
        <v>5400000</v>
      </c>
      <c r="J38" s="818">
        <f>6000000-600000</f>
        <v>5400000</v>
      </c>
      <c r="K38" s="613">
        <f t="shared" si="8"/>
        <v>0</v>
      </c>
    </row>
    <row r="39" spans="1:11" ht="24.75" customHeight="1">
      <c r="A39" s="599" t="s">
        <v>532</v>
      </c>
      <c r="B39" s="621">
        <f aca="true" t="shared" si="9" ref="B39:G39">SUM(B37:B38)</f>
        <v>8000000</v>
      </c>
      <c r="C39" s="621">
        <f t="shared" si="9"/>
        <v>8000000</v>
      </c>
      <c r="D39" s="621">
        <f t="shared" si="9"/>
        <v>8000000</v>
      </c>
      <c r="E39" s="621">
        <f t="shared" si="9"/>
        <v>8000000</v>
      </c>
      <c r="F39" s="621">
        <f t="shared" si="9"/>
        <v>8000000</v>
      </c>
      <c r="G39" s="621">
        <f t="shared" si="9"/>
        <v>7400000</v>
      </c>
      <c r="H39" s="621">
        <f>SUM(H37:H38)</f>
        <v>7400000</v>
      </c>
      <c r="I39" s="621">
        <f>SUM(I37:I38)</f>
        <v>7400000</v>
      </c>
      <c r="J39" s="621">
        <f>SUM(J37:J38)</f>
        <v>7400000</v>
      </c>
      <c r="K39" s="613">
        <f t="shared" si="8"/>
        <v>0</v>
      </c>
    </row>
    <row r="40" spans="1:11" ht="24.75" customHeight="1">
      <c r="A40" s="599" t="s">
        <v>552</v>
      </c>
      <c r="B40" s="621"/>
      <c r="C40" s="621"/>
      <c r="D40" s="621">
        <v>3399025</v>
      </c>
      <c r="E40" s="621">
        <f>3399025+1782191</f>
        <v>5181216</v>
      </c>
      <c r="F40" s="621">
        <f>3399025+1782191</f>
        <v>5181216</v>
      </c>
      <c r="G40" s="621">
        <f>3399025+1782191-289430+3*583311</f>
        <v>6641719</v>
      </c>
      <c r="H40" s="621">
        <f>3399025+1782191-289430+3*583311</f>
        <v>6641719</v>
      </c>
      <c r="I40" s="621">
        <f>3399025+1782191-289430+3*583311</f>
        <v>6641719</v>
      </c>
      <c r="J40" s="621">
        <f>3399025+1782191-289430+3*583311</f>
        <v>6641719</v>
      </c>
      <c r="K40" s="613">
        <f t="shared" si="8"/>
        <v>0</v>
      </c>
    </row>
    <row r="41" spans="1:11" ht="24.75" customHeight="1" hidden="1">
      <c r="A41" s="599" t="s">
        <v>367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13">
        <f t="shared" si="8"/>
        <v>0</v>
      </c>
    </row>
    <row r="42" spans="1:11" ht="24.75" customHeight="1" hidden="1">
      <c r="A42" s="599" t="s">
        <v>366</v>
      </c>
      <c r="B42" s="621"/>
      <c r="C42" s="621"/>
      <c r="D42" s="621"/>
      <c r="E42" s="621"/>
      <c r="F42" s="621"/>
      <c r="G42" s="621"/>
      <c r="H42" s="621"/>
      <c r="I42" s="621"/>
      <c r="J42" s="621"/>
      <c r="K42" s="613">
        <f t="shared" si="8"/>
        <v>0</v>
      </c>
    </row>
    <row r="43" spans="1:11" ht="24.75" customHeight="1" hidden="1">
      <c r="A43" s="599" t="s">
        <v>365</v>
      </c>
      <c r="B43" s="621"/>
      <c r="C43" s="621"/>
      <c r="D43" s="621"/>
      <c r="E43" s="621"/>
      <c r="F43" s="621"/>
      <c r="G43" s="621"/>
      <c r="H43" s="621"/>
      <c r="I43" s="621"/>
      <c r="J43" s="621"/>
      <c r="K43" s="613">
        <f t="shared" si="8"/>
        <v>0</v>
      </c>
    </row>
    <row r="44" spans="1:11" ht="24.75" customHeight="1" hidden="1">
      <c r="A44" s="599" t="s">
        <v>369</v>
      </c>
      <c r="B44" s="621"/>
      <c r="C44" s="621"/>
      <c r="D44" s="621"/>
      <c r="E44" s="621"/>
      <c r="F44" s="621"/>
      <c r="G44" s="621"/>
      <c r="H44" s="621"/>
      <c r="I44" s="621"/>
      <c r="J44" s="621"/>
      <c r="K44" s="613">
        <f t="shared" si="8"/>
        <v>0</v>
      </c>
    </row>
    <row r="45" spans="1:11" ht="24.75" customHeight="1">
      <c r="A45" s="599" t="s">
        <v>489</v>
      </c>
      <c r="B45" s="621"/>
      <c r="C45" s="621"/>
      <c r="D45" s="621"/>
      <c r="E45" s="621">
        <v>133938</v>
      </c>
      <c r="F45" s="621">
        <v>133938</v>
      </c>
      <c r="G45" s="621">
        <v>133938</v>
      </c>
      <c r="H45" s="621">
        <v>133938</v>
      </c>
      <c r="I45" s="621">
        <v>133938</v>
      </c>
      <c r="J45" s="621">
        <v>133938</v>
      </c>
      <c r="K45" s="613">
        <f t="shared" si="8"/>
        <v>0</v>
      </c>
    </row>
    <row r="46" spans="1:11" ht="24.75" customHeight="1" hidden="1">
      <c r="A46" s="599" t="s">
        <v>488</v>
      </c>
      <c r="B46" s="621"/>
      <c r="C46" s="621"/>
      <c r="D46" s="621"/>
      <c r="E46" s="621"/>
      <c r="F46" s="621"/>
      <c r="G46" s="621"/>
      <c r="H46" s="621"/>
      <c r="I46" s="621"/>
      <c r="J46" s="621"/>
      <c r="K46" s="613">
        <f t="shared" si="8"/>
        <v>0</v>
      </c>
    </row>
    <row r="47" spans="1:11" ht="24.75" customHeight="1" hidden="1">
      <c r="A47" s="599" t="s">
        <v>492</v>
      </c>
      <c r="B47" s="621"/>
      <c r="C47" s="621"/>
      <c r="D47" s="621"/>
      <c r="E47" s="621"/>
      <c r="F47" s="621"/>
      <c r="G47" s="621"/>
      <c r="H47" s="621"/>
      <c r="I47" s="621"/>
      <c r="J47" s="621"/>
      <c r="K47" s="613">
        <f t="shared" si="8"/>
        <v>0</v>
      </c>
    </row>
    <row r="48" spans="1:11" ht="24.75" customHeight="1">
      <c r="A48" s="599" t="s">
        <v>598</v>
      </c>
      <c r="B48" s="621"/>
      <c r="C48" s="621"/>
      <c r="D48" s="621"/>
      <c r="E48" s="621"/>
      <c r="F48" s="621"/>
      <c r="G48" s="621">
        <v>1386840</v>
      </c>
      <c r="H48" s="621">
        <v>1386840</v>
      </c>
      <c r="I48" s="621">
        <v>1386840</v>
      </c>
      <c r="J48" s="621">
        <v>1386840</v>
      </c>
      <c r="K48" s="613">
        <f t="shared" si="8"/>
        <v>0</v>
      </c>
    </row>
    <row r="49" spans="1:11" ht="24.75" customHeight="1">
      <c r="A49" s="599" t="s">
        <v>599</v>
      </c>
      <c r="B49" s="621"/>
      <c r="C49" s="621"/>
      <c r="D49" s="621"/>
      <c r="E49" s="621"/>
      <c r="F49" s="621"/>
      <c r="G49" s="621">
        <v>1037388</v>
      </c>
      <c r="H49" s="621">
        <v>1037388</v>
      </c>
      <c r="I49" s="621">
        <v>1037388</v>
      </c>
      <c r="J49" s="621">
        <v>1037388</v>
      </c>
      <c r="K49" s="613">
        <f t="shared" si="8"/>
        <v>0</v>
      </c>
    </row>
    <row r="50" spans="1:11" s="609" customFormat="1" ht="26.25" customHeight="1" thickBot="1">
      <c r="A50" s="608" t="s">
        <v>27</v>
      </c>
      <c r="B50" s="622">
        <f>B15+B18+B33+B34+B39</f>
        <v>237504190</v>
      </c>
      <c r="C50" s="622">
        <f>C15+C18+C33+C34+C39</f>
        <v>240592752</v>
      </c>
      <c r="D50" s="622">
        <f>D15+D18+D33+D34+D39+D40</f>
        <v>248941734</v>
      </c>
      <c r="E50" s="622">
        <f>E15+E18+E33+E34+E39+E40+E45</f>
        <v>254649239</v>
      </c>
      <c r="F50" s="622">
        <f>F15+F18+F33+F34+F39+F40+F45</f>
        <v>254510258</v>
      </c>
      <c r="G50" s="622">
        <f>G15+G18+G33+G34+G39+G40+G45+G48+G49</f>
        <v>256286601</v>
      </c>
      <c r="H50" s="622">
        <f>H15+H18+H33+H34+H39+H40+H45+H48+H49</f>
        <v>256286601</v>
      </c>
      <c r="I50" s="622">
        <f>I15+I18+I33+I34+I39+I40+I45+I48+I49</f>
        <v>255994336</v>
      </c>
      <c r="J50" s="622">
        <f>J15+J18+J33+J34+J39+J40+J45+J48+J49</f>
        <v>255994336</v>
      </c>
      <c r="K50" s="622">
        <f>K15+K18+K33+K34+K39</f>
        <v>-292265</v>
      </c>
    </row>
    <row r="51" ht="15" hidden="1">
      <c r="B51" s="909">
        <f>'3.sz.m Önk  bev.'!E33</f>
        <v>237504190</v>
      </c>
    </row>
    <row r="52" spans="1:2" ht="15" hidden="1">
      <c r="A52" s="610"/>
      <c r="B52" s="909">
        <f>B50-B51</f>
        <v>0</v>
      </c>
    </row>
    <row r="53" ht="15">
      <c r="E53" s="909"/>
    </row>
    <row r="54" ht="15">
      <c r="G54" s="909"/>
    </row>
    <row r="55" ht="15">
      <c r="G55" s="909"/>
    </row>
    <row r="56" ht="15">
      <c r="H56" s="909">
        <f>SUM(H40:H49)-H45</f>
        <v>9065947</v>
      </c>
    </row>
  </sheetData>
  <sheetProtection/>
  <mergeCells count="2"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2.140625" style="843" customWidth="1"/>
    <col min="2" max="2" width="18.28125" style="844" customWidth="1"/>
    <col min="3" max="7" width="14.28125" style="844" customWidth="1"/>
    <col min="8" max="8" width="13.57421875" style="844" customWidth="1"/>
    <col min="9" max="16384" width="9.140625" style="844" customWidth="1"/>
  </cols>
  <sheetData>
    <row r="1" spans="6:7" ht="15">
      <c r="F1" s="1556" t="s">
        <v>1121</v>
      </c>
      <c r="G1" s="1556"/>
    </row>
    <row r="2" spans="1:7" ht="24.75" customHeight="1">
      <c r="A2" s="1557" t="s">
        <v>445</v>
      </c>
      <c r="B2" s="1557"/>
      <c r="C2" s="1557"/>
      <c r="D2" s="1557"/>
      <c r="E2" s="1557"/>
      <c r="F2" s="1557"/>
      <c r="G2" s="1557"/>
    </row>
    <row r="3" spans="1:7" ht="18.75" customHeight="1">
      <c r="A3" s="1558" t="s">
        <v>435</v>
      </c>
      <c r="B3" s="1558"/>
      <c r="C3" s="1558"/>
      <c r="D3" s="1558"/>
      <c r="E3" s="1558"/>
      <c r="F3" s="1558"/>
      <c r="G3" s="1558"/>
    </row>
    <row r="4" spans="1:7" ht="24.75" customHeight="1">
      <c r="A4" s="1559" t="s">
        <v>446</v>
      </c>
      <c r="B4" s="1559"/>
      <c r="C4" s="1559"/>
      <c r="D4" s="1559"/>
      <c r="E4" s="1559"/>
      <c r="F4" s="1559"/>
      <c r="G4" s="1559"/>
    </row>
    <row r="5" ht="15.75" thickBot="1">
      <c r="G5" s="845" t="s">
        <v>505</v>
      </c>
    </row>
    <row r="6" spans="1:7" ht="24.75" customHeight="1">
      <c r="A6" s="1560" t="s">
        <v>447</v>
      </c>
      <c r="B6" s="1562" t="s">
        <v>448</v>
      </c>
      <c r="C6" s="1562"/>
      <c r="D6" s="1562"/>
      <c r="E6" s="1563" t="s">
        <v>449</v>
      </c>
      <c r="F6" s="1562"/>
      <c r="G6" s="1564"/>
    </row>
    <row r="7" spans="1:7" ht="24.75" customHeight="1" thickBot="1">
      <c r="A7" s="1561"/>
      <c r="B7" s="846" t="s">
        <v>450</v>
      </c>
      <c r="C7" s="846" t="s">
        <v>451</v>
      </c>
      <c r="D7" s="846" t="s">
        <v>452</v>
      </c>
      <c r="E7" s="847" t="s">
        <v>450</v>
      </c>
      <c r="F7" s="846" t="s">
        <v>453</v>
      </c>
      <c r="G7" s="848" t="s">
        <v>452</v>
      </c>
    </row>
    <row r="8" spans="1:7" ht="33.75" customHeight="1">
      <c r="A8" s="849" t="s">
        <v>282</v>
      </c>
      <c r="B8" s="911"/>
      <c r="C8" s="911">
        <v>28936000</v>
      </c>
      <c r="D8" s="911">
        <f>SUM(B8:C8)</f>
        <v>28936000</v>
      </c>
      <c r="E8" s="912">
        <v>744000</v>
      </c>
      <c r="F8" s="912">
        <v>15272000</v>
      </c>
      <c r="G8" s="913">
        <f>SUM(E8:F8)</f>
        <v>16016000</v>
      </c>
    </row>
    <row r="9" spans="1:7" ht="33.75" customHeight="1">
      <c r="A9" s="850" t="s">
        <v>454</v>
      </c>
      <c r="B9" s="914"/>
      <c r="C9" s="914"/>
      <c r="D9" s="911">
        <f>SUM(B9:C9)</f>
        <v>0</v>
      </c>
      <c r="E9" s="915"/>
      <c r="F9" s="915"/>
      <c r="G9" s="913">
        <f>SUM(E9:F9)</f>
        <v>0</v>
      </c>
    </row>
    <row r="10" spans="1:7" ht="33.75" customHeight="1">
      <c r="A10" s="850" t="s">
        <v>455</v>
      </c>
      <c r="B10" s="914">
        <v>3342629</v>
      </c>
      <c r="C10" s="914"/>
      <c r="D10" s="911">
        <f>SUM(B10:C10)</f>
        <v>3342629</v>
      </c>
      <c r="E10" s="915">
        <v>374135</v>
      </c>
      <c r="F10" s="915"/>
      <c r="G10" s="913">
        <f>SUM(E10:F10)</f>
        <v>374135</v>
      </c>
    </row>
    <row r="11" spans="1:7" ht="33.75" customHeight="1">
      <c r="A11" s="851" t="s">
        <v>283</v>
      </c>
      <c r="B11" s="916"/>
      <c r="C11" s="916"/>
      <c r="D11" s="911"/>
      <c r="E11" s="917"/>
      <c r="F11" s="917"/>
      <c r="G11" s="913"/>
    </row>
    <row r="12" spans="1:7" ht="33.75" customHeight="1" thickBot="1">
      <c r="A12" s="852" t="s">
        <v>284</v>
      </c>
      <c r="B12" s="918"/>
      <c r="C12" s="918"/>
      <c r="D12" s="918"/>
      <c r="E12" s="919"/>
      <c r="F12" s="919"/>
      <c r="G12" s="920"/>
    </row>
    <row r="13" spans="1:7" ht="33.75" customHeight="1" thickBot="1">
      <c r="A13" s="853" t="s">
        <v>1</v>
      </c>
      <c r="B13" s="854">
        <f aca="true" t="shared" si="0" ref="B13:G13">SUM(B8:B12)</f>
        <v>3342629</v>
      </c>
      <c r="C13" s="854">
        <f t="shared" si="0"/>
        <v>28936000</v>
      </c>
      <c r="D13" s="854">
        <f t="shared" si="0"/>
        <v>32278629</v>
      </c>
      <c r="E13" s="854">
        <f t="shared" si="0"/>
        <v>1118135</v>
      </c>
      <c r="F13" s="854">
        <f t="shared" si="0"/>
        <v>15272000</v>
      </c>
      <c r="G13" s="855">
        <f t="shared" si="0"/>
        <v>16390135</v>
      </c>
    </row>
    <row r="15" spans="1:7" ht="28.5" customHeight="1">
      <c r="A15" s="1565" t="s">
        <v>456</v>
      </c>
      <c r="B15" s="1565"/>
      <c r="C15" s="1565"/>
      <c r="D15" s="1565"/>
      <c r="E15" s="1565"/>
      <c r="F15" s="1565"/>
      <c r="G15" s="1565"/>
    </row>
    <row r="16" ht="15.75" thickBot="1">
      <c r="E16" s="845"/>
    </row>
    <row r="17" spans="2:4" ht="19.5" customHeight="1">
      <c r="B17" s="1566" t="s">
        <v>265</v>
      </c>
      <c r="C17" s="1568" t="s">
        <v>457</v>
      </c>
      <c r="D17" s="1569"/>
    </row>
    <row r="18" spans="2:4" ht="30" customHeight="1" thickBot="1">
      <c r="B18" s="1567"/>
      <c r="C18" s="1570"/>
      <c r="D18" s="1571"/>
    </row>
    <row r="19" spans="2:4" ht="29.25" customHeight="1">
      <c r="B19" s="856" t="s">
        <v>458</v>
      </c>
      <c r="C19" s="1572">
        <v>6849467</v>
      </c>
      <c r="D19" s="1573"/>
    </row>
    <row r="20" spans="2:4" ht="28.5" customHeight="1" hidden="1" thickBot="1">
      <c r="B20" s="857" t="s">
        <v>459</v>
      </c>
      <c r="C20" s="1574"/>
      <c r="D20" s="1575"/>
    </row>
    <row r="21" spans="2:4" s="859" customFormat="1" ht="27.75" customHeight="1" thickBot="1">
      <c r="B21" s="858" t="s">
        <v>1</v>
      </c>
      <c r="C21" s="1576">
        <f>SUM(C19:D20)</f>
        <v>6849467</v>
      </c>
      <c r="D21" s="1577"/>
    </row>
  </sheetData>
  <sheetProtection/>
  <mergeCells count="13">
    <mergeCell ref="A15:G15"/>
    <mergeCell ref="B17:B18"/>
    <mergeCell ref="C17:D18"/>
    <mergeCell ref="C19:D19"/>
    <mergeCell ref="C20:D20"/>
    <mergeCell ref="C21:D21"/>
    <mergeCell ref="F1:G1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workbookViewId="0" topLeftCell="A13">
      <selection activeCell="B22" sqref="B22"/>
    </sheetView>
  </sheetViews>
  <sheetFormatPr defaultColWidth="9.140625" defaultRowHeight="12.75"/>
  <cols>
    <col min="1" max="1" width="5.8515625" style="1090" customWidth="1"/>
    <col min="2" max="2" width="42.57421875" style="1089" customWidth="1"/>
    <col min="3" max="8" width="11.00390625" style="1089" customWidth="1"/>
    <col min="9" max="9" width="12.28125" style="1089" customWidth="1"/>
    <col min="10" max="10" width="2.8515625" style="1089" customWidth="1"/>
    <col min="11" max="16384" width="9.140625" style="1089" customWidth="1"/>
  </cols>
  <sheetData>
    <row r="1" spans="1:9" ht="27.75" customHeight="1">
      <c r="A1" s="1581" t="s">
        <v>640</v>
      </c>
      <c r="B1" s="1581"/>
      <c r="C1" s="1581"/>
      <c r="D1" s="1581"/>
      <c r="E1" s="1581"/>
      <c r="F1" s="1581"/>
      <c r="G1" s="1581"/>
      <c r="H1" s="1581"/>
      <c r="I1" s="1581"/>
    </row>
    <row r="2" ht="20.25" customHeight="1" thickBot="1">
      <c r="I2" s="1091" t="str">
        <f>'[1]1. sz tájékoztató t.'!E2</f>
        <v>Forintban!</v>
      </c>
    </row>
    <row r="3" spans="1:9" s="1092" customFormat="1" ht="26.25" customHeight="1">
      <c r="A3" s="1582" t="s">
        <v>641</v>
      </c>
      <c r="B3" s="1584" t="s">
        <v>642</v>
      </c>
      <c r="C3" s="1582" t="s">
        <v>643</v>
      </c>
      <c r="D3" s="1586" t="s">
        <v>644</v>
      </c>
      <c r="E3" s="1588" t="s">
        <v>645</v>
      </c>
      <c r="F3" s="1589"/>
      <c r="G3" s="1589"/>
      <c r="H3" s="1590"/>
      <c r="I3" s="1584" t="s">
        <v>1</v>
      </c>
    </row>
    <row r="4" spans="1:9" s="1095" customFormat="1" ht="32.25" customHeight="1" thickBot="1">
      <c r="A4" s="1583"/>
      <c r="B4" s="1585"/>
      <c r="C4" s="1585"/>
      <c r="D4" s="1587"/>
      <c r="E4" s="1093" t="s">
        <v>435</v>
      </c>
      <c r="F4" s="1093" t="s">
        <v>646</v>
      </c>
      <c r="G4" s="1093" t="s">
        <v>647</v>
      </c>
      <c r="H4" s="1094" t="s">
        <v>648</v>
      </c>
      <c r="I4" s="1585"/>
    </row>
    <row r="5" spans="1:9" s="1101" customFormat="1" ht="12.75" customHeight="1" thickBot="1">
      <c r="A5" s="1096" t="s">
        <v>649</v>
      </c>
      <c r="B5" s="1097" t="s">
        <v>15</v>
      </c>
      <c r="C5" s="1098" t="s">
        <v>650</v>
      </c>
      <c r="D5" s="1097" t="s">
        <v>651</v>
      </c>
      <c r="E5" s="1096" t="s">
        <v>652</v>
      </c>
      <c r="F5" s="1098" t="s">
        <v>16</v>
      </c>
      <c r="G5" s="1098" t="s">
        <v>653</v>
      </c>
      <c r="H5" s="1099" t="s">
        <v>654</v>
      </c>
      <c r="I5" s="1100" t="s">
        <v>655</v>
      </c>
    </row>
    <row r="6" spans="1:9" ht="24.75" customHeight="1" thickBot="1">
      <c r="A6" s="1102" t="s">
        <v>29</v>
      </c>
      <c r="B6" s="1102" t="s">
        <v>656</v>
      </c>
      <c r="C6" s="1103"/>
      <c r="D6" s="1104">
        <f>+D7+D8</f>
        <v>0</v>
      </c>
      <c r="E6" s="1105">
        <f>+E7+E8</f>
        <v>0</v>
      </c>
      <c r="F6" s="1106">
        <f>+F7+F8</f>
        <v>0</v>
      </c>
      <c r="G6" s="1106">
        <f>+G7+G8</f>
        <v>0</v>
      </c>
      <c r="H6" s="1107">
        <f>+H7+H8</f>
        <v>0</v>
      </c>
      <c r="I6" s="1108">
        <f aca="true" t="shared" si="0" ref="I6:I24">SUM(D6:H6)</f>
        <v>0</v>
      </c>
    </row>
    <row r="7" spans="1:10" ht="19.5" customHeight="1">
      <c r="A7" s="1109" t="s">
        <v>30</v>
      </c>
      <c r="B7" s="1109" t="s">
        <v>657</v>
      </c>
      <c r="C7" s="1110"/>
      <c r="D7" s="1111"/>
      <c r="E7" s="1112"/>
      <c r="F7" s="1113"/>
      <c r="G7" s="1113"/>
      <c r="H7" s="1114"/>
      <c r="I7" s="1115">
        <f t="shared" si="0"/>
        <v>0</v>
      </c>
      <c r="J7" s="1578"/>
    </row>
    <row r="8" spans="1:10" ht="19.5" customHeight="1" thickBot="1">
      <c r="A8" s="1109" t="s">
        <v>10</v>
      </c>
      <c r="B8" s="1109" t="s">
        <v>657</v>
      </c>
      <c r="C8" s="1110"/>
      <c r="D8" s="1111"/>
      <c r="E8" s="1112"/>
      <c r="F8" s="1113"/>
      <c r="G8" s="1113"/>
      <c r="H8" s="1114"/>
      <c r="I8" s="1115">
        <f t="shared" si="0"/>
        <v>0</v>
      </c>
      <c r="J8" s="1578"/>
    </row>
    <row r="9" spans="1:10" ht="25.5" customHeight="1" thickBot="1">
      <c r="A9" s="1102" t="s">
        <v>11</v>
      </c>
      <c r="B9" s="1102" t="s">
        <v>658</v>
      </c>
      <c r="C9" s="1103"/>
      <c r="D9" s="1104">
        <f>+D10+D11</f>
        <v>0</v>
      </c>
      <c r="E9" s="1105">
        <f>+E10+E11</f>
        <v>0</v>
      </c>
      <c r="F9" s="1106">
        <f>+F10+F11</f>
        <v>0</v>
      </c>
      <c r="G9" s="1106">
        <f>+G10+G11</f>
        <v>0</v>
      </c>
      <c r="H9" s="1107">
        <f>+H10+H11</f>
        <v>0</v>
      </c>
      <c r="I9" s="1108">
        <f t="shared" si="0"/>
        <v>0</v>
      </c>
      <c r="J9" s="1578"/>
    </row>
    <row r="10" spans="1:10" ht="19.5" customHeight="1">
      <c r="A10" s="1109" t="s">
        <v>12</v>
      </c>
      <c r="B10" s="1109" t="s">
        <v>657</v>
      </c>
      <c r="C10" s="1110"/>
      <c r="D10" s="1111"/>
      <c r="E10" s="1112"/>
      <c r="F10" s="1113"/>
      <c r="G10" s="1113"/>
      <c r="H10" s="1114"/>
      <c r="I10" s="1115">
        <f t="shared" si="0"/>
        <v>0</v>
      </c>
      <c r="J10" s="1578"/>
    </row>
    <row r="11" spans="1:10" ht="19.5" customHeight="1" thickBot="1">
      <c r="A11" s="1109" t="s">
        <v>13</v>
      </c>
      <c r="B11" s="1109" t="s">
        <v>657</v>
      </c>
      <c r="C11" s="1110"/>
      <c r="D11" s="1111"/>
      <c r="E11" s="1112"/>
      <c r="F11" s="1113"/>
      <c r="G11" s="1113"/>
      <c r="H11" s="1114"/>
      <c r="I11" s="1115">
        <f t="shared" si="0"/>
        <v>0</v>
      </c>
      <c r="J11" s="1578"/>
    </row>
    <row r="12" spans="1:10" ht="19.5" customHeight="1" thickBot="1">
      <c r="A12" s="1102" t="s">
        <v>14</v>
      </c>
      <c r="B12" s="1102" t="s">
        <v>659</v>
      </c>
      <c r="C12" s="1103"/>
      <c r="D12" s="1104">
        <f>+D17</f>
        <v>0</v>
      </c>
      <c r="E12" s="1105">
        <f>SUM(E13:E17)</f>
        <v>333724</v>
      </c>
      <c r="F12" s="1106">
        <f>SUM(F13:F17)</f>
        <v>40810421</v>
      </c>
      <c r="G12" s="1106">
        <f>SUM(G13:G17)</f>
        <v>57551464</v>
      </c>
      <c r="H12" s="1107">
        <f>SUM(H13:H17)</f>
        <v>0</v>
      </c>
      <c r="I12" s="1108">
        <f>SUM(D12:H12)</f>
        <v>98695609</v>
      </c>
      <c r="J12" s="1578"/>
    </row>
    <row r="13" spans="1:10" ht="79.5" customHeight="1">
      <c r="A13" s="1290" t="s">
        <v>61</v>
      </c>
      <c r="B13" s="1290" t="s">
        <v>1155</v>
      </c>
      <c r="C13" s="1287" t="s">
        <v>660</v>
      </c>
      <c r="D13" s="1119"/>
      <c r="E13" s="1120"/>
      <c r="F13" s="1121">
        <v>3000000</v>
      </c>
      <c r="G13" s="1121"/>
      <c r="H13" s="1122"/>
      <c r="I13" s="1123">
        <f t="shared" si="0"/>
        <v>3000000</v>
      </c>
      <c r="J13" s="1578"/>
    </row>
    <row r="14" spans="1:10" ht="22.5">
      <c r="A14" s="1291" t="s">
        <v>62</v>
      </c>
      <c r="B14" s="1291" t="s">
        <v>1154</v>
      </c>
      <c r="C14" s="1110" t="s">
        <v>660</v>
      </c>
      <c r="D14" s="1292"/>
      <c r="E14" s="1293"/>
      <c r="F14" s="1294"/>
      <c r="G14" s="1294"/>
      <c r="H14" s="1295"/>
      <c r="I14" s="1115"/>
      <c r="J14" s="1578"/>
    </row>
    <row r="15" spans="1:10" ht="12.75">
      <c r="A15" s="1291" t="s">
        <v>436</v>
      </c>
      <c r="B15" s="1291" t="s">
        <v>516</v>
      </c>
      <c r="C15" s="1110" t="s">
        <v>660</v>
      </c>
      <c r="D15" s="1292"/>
      <c r="E15" s="1293"/>
      <c r="F15" s="1294">
        <v>10000000</v>
      </c>
      <c r="G15" s="1294"/>
      <c r="H15" s="1295"/>
      <c r="I15" s="1115">
        <f t="shared" si="0"/>
        <v>10000000</v>
      </c>
      <c r="J15" s="1578"/>
    </row>
    <row r="16" spans="1:10" ht="12.75">
      <c r="A16" s="1291" t="s">
        <v>439</v>
      </c>
      <c r="B16" s="1291" t="s">
        <v>1153</v>
      </c>
      <c r="C16" s="1110" t="s">
        <v>660</v>
      </c>
      <c r="D16" s="1292"/>
      <c r="E16" s="1293"/>
      <c r="F16" s="1294"/>
      <c r="G16" s="1294">
        <v>57551464</v>
      </c>
      <c r="H16" s="1295"/>
      <c r="I16" s="1115">
        <f t="shared" si="0"/>
        <v>57551464</v>
      </c>
      <c r="J16" s="1578"/>
    </row>
    <row r="17" spans="1:10" ht="13.5" thickBot="1">
      <c r="A17" s="1109" t="s">
        <v>440</v>
      </c>
      <c r="B17" s="1109" t="s">
        <v>1152</v>
      </c>
      <c r="C17" s="1110" t="s">
        <v>660</v>
      </c>
      <c r="D17" s="1111"/>
      <c r="E17" s="1112">
        <v>333724</v>
      </c>
      <c r="F17" s="1113">
        <v>27810421</v>
      </c>
      <c r="G17" s="1113"/>
      <c r="H17" s="1114"/>
      <c r="I17" s="1115">
        <f t="shared" si="0"/>
        <v>28144145</v>
      </c>
      <c r="J17" s="1578"/>
    </row>
    <row r="18" spans="1:10" ht="19.5" customHeight="1" thickBot="1">
      <c r="A18" s="1102" t="s">
        <v>441</v>
      </c>
      <c r="B18" s="1102" t="s">
        <v>661</v>
      </c>
      <c r="C18" s="1103"/>
      <c r="D18" s="1104">
        <f>+D19</f>
        <v>0</v>
      </c>
      <c r="E18" s="1105">
        <f>+E19</f>
        <v>2439594</v>
      </c>
      <c r="F18" s="1106">
        <f>+F19</f>
        <v>3810000</v>
      </c>
      <c r="G18" s="1106">
        <f>+G19</f>
        <v>72489528</v>
      </c>
      <c r="H18" s="1107">
        <f>+H19</f>
        <v>0</v>
      </c>
      <c r="I18" s="1108">
        <f t="shared" si="0"/>
        <v>78739122</v>
      </c>
      <c r="J18" s="1578"/>
    </row>
    <row r="19" spans="1:10" ht="28.5" customHeight="1">
      <c r="A19" s="1109" t="s">
        <v>442</v>
      </c>
      <c r="B19" s="1109" t="s">
        <v>1151</v>
      </c>
      <c r="C19" s="1110" t="s">
        <v>660</v>
      </c>
      <c r="D19" s="1111"/>
      <c r="E19" s="1112">
        <v>2439594</v>
      </c>
      <c r="F19" s="1113">
        <f>3810000</f>
        <v>3810000</v>
      </c>
      <c r="G19" s="1113">
        <f>317500+34511214+34511214+889000+2260600</f>
        <v>72489528</v>
      </c>
      <c r="H19" s="1114"/>
      <c r="I19" s="1115">
        <f>SUM(D19:H19)</f>
        <v>78739122</v>
      </c>
      <c r="J19" s="1578"/>
    </row>
    <row r="20" spans="1:10" ht="19.5" customHeight="1">
      <c r="A20" s="1109" t="s">
        <v>443</v>
      </c>
      <c r="B20" s="1109"/>
      <c r="C20" s="1110"/>
      <c r="D20" s="1111"/>
      <c r="E20" s="1112"/>
      <c r="F20" s="1113"/>
      <c r="G20" s="1113"/>
      <c r="H20" s="1114"/>
      <c r="I20" s="1115"/>
      <c r="J20" s="1578"/>
    </row>
    <row r="21" spans="1:10" ht="19.5" customHeight="1" thickBot="1">
      <c r="A21" s="1288" t="s">
        <v>702</v>
      </c>
      <c r="B21" s="1288"/>
      <c r="C21" s="1289"/>
      <c r="D21" s="1125"/>
      <c r="E21" s="1126"/>
      <c r="F21" s="1127"/>
      <c r="G21" s="1127"/>
      <c r="H21" s="1128"/>
      <c r="I21" s="1129"/>
      <c r="J21" s="1578"/>
    </row>
    <row r="22" spans="1:10" ht="19.5" customHeight="1" thickBot="1">
      <c r="A22" s="1117" t="s">
        <v>704</v>
      </c>
      <c r="B22" s="1117" t="s">
        <v>662</v>
      </c>
      <c r="C22" s="1103"/>
      <c r="D22" s="1104">
        <f>+D24</f>
        <v>0</v>
      </c>
      <c r="E22" s="1105">
        <f>+E24</f>
        <v>0</v>
      </c>
      <c r="F22" s="1106">
        <f>+F24</f>
        <v>0</v>
      </c>
      <c r="G22" s="1106">
        <f>+G24</f>
        <v>0</v>
      </c>
      <c r="H22" s="1107">
        <f>+H24</f>
        <v>0</v>
      </c>
      <c r="I22" s="1108">
        <f t="shared" si="0"/>
        <v>0</v>
      </c>
      <c r="J22" s="1578"/>
    </row>
    <row r="23" spans="1:10" ht="26.25" customHeight="1">
      <c r="A23" s="1116" t="s">
        <v>706</v>
      </c>
      <c r="B23" s="1116" t="s">
        <v>1154</v>
      </c>
      <c r="C23" s="1118" t="s">
        <v>660</v>
      </c>
      <c r="D23" s="1119"/>
      <c r="E23" s="1120"/>
      <c r="F23" s="1121">
        <v>2540000</v>
      </c>
      <c r="G23" s="1121"/>
      <c r="H23" s="1122"/>
      <c r="I23" s="1115">
        <f t="shared" si="0"/>
        <v>2540000</v>
      </c>
      <c r="J23" s="1578"/>
    </row>
    <row r="24" spans="1:10" ht="20.25" customHeight="1" thickBot="1">
      <c r="A24" s="1109" t="s">
        <v>708</v>
      </c>
      <c r="B24" s="1109" t="s">
        <v>657</v>
      </c>
      <c r="C24" s="1124"/>
      <c r="D24" s="1125"/>
      <c r="E24" s="1126"/>
      <c r="F24" s="1127"/>
      <c r="G24" s="1127"/>
      <c r="H24" s="1128"/>
      <c r="I24" s="1129">
        <f t="shared" si="0"/>
        <v>0</v>
      </c>
      <c r="J24" s="1578"/>
    </row>
    <row r="25" spans="1:10" ht="19.5" customHeight="1" thickBot="1">
      <c r="A25" s="1579" t="s">
        <v>663</v>
      </c>
      <c r="B25" s="1580"/>
      <c r="C25" s="1130"/>
      <c r="D25" s="1104">
        <f aca="true" t="shared" si="1" ref="D25:I25">+D6+D9+D12+D18+D22</f>
        <v>0</v>
      </c>
      <c r="E25" s="1105">
        <f t="shared" si="1"/>
        <v>2773318</v>
      </c>
      <c r="F25" s="1106">
        <f t="shared" si="1"/>
        <v>44620421</v>
      </c>
      <c r="G25" s="1106">
        <f t="shared" si="1"/>
        <v>130040992</v>
      </c>
      <c r="H25" s="1107">
        <f t="shared" si="1"/>
        <v>0</v>
      </c>
      <c r="I25" s="1108">
        <f t="shared" si="1"/>
        <v>177434731</v>
      </c>
      <c r="J25" s="1578"/>
    </row>
  </sheetData>
  <sheetProtection/>
  <mergeCells count="9">
    <mergeCell ref="J7:J25"/>
    <mergeCell ref="A25:B2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&amp;R20. 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</sheetPr>
  <dimension ref="A1:C12"/>
  <sheetViews>
    <sheetView tabSelected="1" workbookViewId="0" topLeftCell="A1">
      <selection activeCell="D20" sqref="D20"/>
    </sheetView>
  </sheetViews>
  <sheetFormatPr defaultColWidth="60.421875" defaultRowHeight="12.75"/>
  <cols>
    <col min="1" max="1" width="60.421875" style="1131" customWidth="1"/>
    <col min="2" max="2" width="5.57421875" style="1136" customWidth="1"/>
    <col min="3" max="3" width="11.00390625" style="1131" customWidth="1"/>
    <col min="4" max="4" width="14.8515625" style="1131" customWidth="1"/>
    <col min="5" max="255" width="10.7109375" style="1131" customWidth="1"/>
    <col min="256" max="16384" width="60.421875" style="1131" customWidth="1"/>
  </cols>
  <sheetData>
    <row r="1" spans="1:2" ht="15.75">
      <c r="A1" s="1595" t="s">
        <v>664</v>
      </c>
      <c r="B1" s="1595"/>
    </row>
    <row r="2" spans="1:2" ht="15.75">
      <c r="A2" s="1132"/>
      <c r="B2" s="1132"/>
    </row>
    <row r="3" spans="1:2" ht="15.75">
      <c r="A3" s="1132"/>
      <c r="B3" s="1132"/>
    </row>
    <row r="4" spans="1:2" ht="15.75">
      <c r="A4" s="1132"/>
      <c r="B4" s="1132"/>
    </row>
    <row r="5" spans="1:3" ht="16.5" thickBot="1">
      <c r="A5" s="1596" t="s">
        <v>573</v>
      </c>
      <c r="B5" s="1596"/>
      <c r="C5" s="1596"/>
    </row>
    <row r="6" spans="1:3" ht="28.5" customHeight="1">
      <c r="A6" s="1133" t="s">
        <v>665</v>
      </c>
      <c r="B6" s="1597" t="s">
        <v>666</v>
      </c>
      <c r="C6" s="1598"/>
    </row>
    <row r="7" spans="1:3" ht="15.75">
      <c r="A7" s="1134" t="s">
        <v>667</v>
      </c>
      <c r="B7" s="1591">
        <v>11580000</v>
      </c>
      <c r="C7" s="1592"/>
    </row>
    <row r="8" spans="1:3" ht="15.75" hidden="1">
      <c r="A8" s="1134" t="s">
        <v>668</v>
      </c>
      <c r="B8" s="1591"/>
      <c r="C8" s="1592"/>
    </row>
    <row r="9" spans="1:3" ht="15.75" hidden="1">
      <c r="A9" s="1134"/>
      <c r="B9" s="1591"/>
      <c r="C9" s="1592"/>
    </row>
    <row r="10" spans="1:3" ht="15.75" hidden="1">
      <c r="A10" s="1134"/>
      <c r="B10" s="1591"/>
      <c r="C10" s="1592"/>
    </row>
    <row r="11" spans="1:3" ht="15.75" hidden="1">
      <c r="A11" s="1134"/>
      <c r="B11" s="1591"/>
      <c r="C11" s="1592"/>
    </row>
    <row r="12" spans="1:3" ht="16.5" thickBot="1">
      <c r="A12" s="1135" t="s">
        <v>22</v>
      </c>
      <c r="B12" s="1593">
        <f>B7+B8+B9+B10+B11</f>
        <v>11580000</v>
      </c>
      <c r="C12" s="1594"/>
    </row>
  </sheetData>
  <sheetProtection selectLockedCells="1" selectUnlockedCells="1"/>
  <mergeCells count="9">
    <mergeCell ref="B10:C10"/>
    <mergeCell ref="B11:C11"/>
    <mergeCell ref="B12:C12"/>
    <mergeCell ref="A1:B1"/>
    <mergeCell ref="A5:C5"/>
    <mergeCell ref="B6:C6"/>
    <mergeCell ref="B7:C7"/>
    <mergeCell ref="B8:C8"/>
    <mergeCell ref="B9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&amp;R21. számú melléklet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="85" zoomScaleNormal="85" workbookViewId="0" topLeftCell="G2">
      <selection activeCell="A44" sqref="A44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hidden="1" customWidth="1"/>
    <col min="4" max="4" width="20.57421875" style="13" hidden="1" customWidth="1"/>
    <col min="5" max="5" width="19.57421875" style="13" hidden="1" customWidth="1"/>
    <col min="6" max="6" width="19.421875" style="13" hidden="1" customWidth="1"/>
    <col min="7" max="9" width="18.421875" style="13" customWidth="1"/>
    <col min="10" max="10" width="43.57421875" style="13" bestFit="1" customWidth="1"/>
    <col min="11" max="11" width="21.8515625" style="13" customWidth="1"/>
    <col min="12" max="12" width="18.28125" style="13" hidden="1" customWidth="1"/>
    <col min="13" max="13" width="18.421875" style="13" hidden="1" customWidth="1"/>
    <col min="14" max="14" width="19.28125" style="13" hidden="1" customWidth="1"/>
    <col min="15" max="15" width="18.421875" style="13" hidden="1" customWidth="1"/>
    <col min="16" max="16" width="19.00390625" style="13" customWidth="1"/>
    <col min="17" max="17" width="17.140625" style="13" customWidth="1"/>
    <col min="18" max="18" width="15.140625" style="13" bestFit="1" customWidth="1"/>
    <col min="19" max="16384" width="9.140625" style="13" customWidth="1"/>
  </cols>
  <sheetData>
    <row r="1" spans="10:11" ht="12.75">
      <c r="J1" s="1368" t="s">
        <v>26</v>
      </c>
      <c r="K1" s="1368"/>
    </row>
    <row r="2" spans="1:11" ht="19.5">
      <c r="A2" s="1369" t="s">
        <v>21</v>
      </c>
      <c r="B2" s="1369"/>
      <c r="C2" s="1369"/>
      <c r="D2" s="1369"/>
      <c r="E2" s="1369"/>
      <c r="F2" s="1369"/>
      <c r="G2" s="1369"/>
      <c r="H2" s="1369"/>
      <c r="I2" s="1369"/>
      <c r="J2" s="1369"/>
      <c r="K2" s="1369"/>
    </row>
    <row r="3" spans="1:11" ht="11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69" t="s">
        <v>505</v>
      </c>
    </row>
    <row r="4" spans="1:11" ht="17.25" customHeight="1" thickBot="1">
      <c r="A4" s="1370" t="s">
        <v>204</v>
      </c>
      <c r="B4" s="1371"/>
      <c r="C4" s="1371"/>
      <c r="D4" s="1371"/>
      <c r="E4" s="1371"/>
      <c r="F4" s="1371"/>
      <c r="G4" s="1371"/>
      <c r="H4" s="1371"/>
      <c r="I4" s="1371"/>
      <c r="J4" s="1370"/>
      <c r="K4" s="1371"/>
    </row>
    <row r="5" spans="1:18" ht="33" customHeight="1" thickBot="1">
      <c r="A5" s="343" t="s">
        <v>7</v>
      </c>
      <c r="B5" s="436" t="s">
        <v>239</v>
      </c>
      <c r="C5" s="437" t="s">
        <v>237</v>
      </c>
      <c r="D5" s="437" t="s">
        <v>240</v>
      </c>
      <c r="E5" s="437" t="s">
        <v>243</v>
      </c>
      <c r="F5" s="437" t="s">
        <v>259</v>
      </c>
      <c r="G5" s="438" t="s">
        <v>264</v>
      </c>
      <c r="H5" s="389" t="s">
        <v>246</v>
      </c>
      <c r="I5" s="438" t="s">
        <v>247</v>
      </c>
      <c r="J5" s="389" t="s">
        <v>8</v>
      </c>
      <c r="K5" s="436" t="s">
        <v>239</v>
      </c>
      <c r="L5" s="437" t="s">
        <v>237</v>
      </c>
      <c r="M5" s="437" t="s">
        <v>240</v>
      </c>
      <c r="N5" s="437" t="s">
        <v>243</v>
      </c>
      <c r="O5" s="437" t="s">
        <v>259</v>
      </c>
      <c r="P5" s="438" t="s">
        <v>264</v>
      </c>
      <c r="Q5" s="389" t="s">
        <v>246</v>
      </c>
      <c r="R5" s="438" t="s">
        <v>247</v>
      </c>
    </row>
    <row r="6" spans="1:18" ht="12.75">
      <c r="A6" s="345" t="s">
        <v>345</v>
      </c>
      <c r="B6" s="439">
        <f>'3.sz.m Önk  bev.'!E7</f>
        <v>131360000</v>
      </c>
      <c r="C6" s="439">
        <f>'3.sz.m Önk  bev.'!F7</f>
        <v>131360000</v>
      </c>
      <c r="D6" s="439">
        <f>'3.sz.m Önk  bev.'!G7</f>
        <v>132164653</v>
      </c>
      <c r="E6" s="439">
        <f>'3.sz.m Önk  bev.'!H7</f>
        <v>132326841</v>
      </c>
      <c r="F6" s="439">
        <f>'3.sz.m Önk  bev.'!I7</f>
        <v>134376203</v>
      </c>
      <c r="G6" s="439">
        <f>'3.sz.m Önk  bev.'!J7</f>
        <v>178846325</v>
      </c>
      <c r="H6" s="439">
        <f>'3.sz.m Önk  bev.'!K7</f>
        <v>170438843</v>
      </c>
      <c r="I6" s="1028">
        <f>H6/G6</f>
        <v>0.9529904682134229</v>
      </c>
      <c r="J6" s="423" t="s">
        <v>178</v>
      </c>
      <c r="K6" s="452">
        <f>'4.sz.m.ÖNK kiadás'!E7+'5.1 sz. m Köz Hiv'!D35+'5.2 sz. m ÁMK'!D38+'üres lap'!D27</f>
        <v>163677296</v>
      </c>
      <c r="L6" s="452">
        <f>'4.sz.m.ÖNK kiadás'!F7+'5.1 sz. m Köz Hiv'!E35+'5.2 sz. m ÁMK'!E38+'üres lap'!E27</f>
        <v>163677296</v>
      </c>
      <c r="M6" s="452">
        <f>'4.sz.m.ÖNK kiadás'!G7+'5.1 sz. m Köz Hiv'!F35+'5.2 sz. m ÁMK'!F38+'üres lap'!F27</f>
        <v>163677296</v>
      </c>
      <c r="N6" s="452">
        <f>'4.sz.m.ÖNK kiadás'!H7+'5.1 sz. m Köz Hiv'!G35+'5.2 sz. m ÁMK'!G38+'üres lap'!G27</f>
        <v>163527298</v>
      </c>
      <c r="O6" s="452">
        <f>'4.sz.m.ÖNK kiadás'!I7+'5.1 sz. m Köz Hiv'!H35+'5.2 sz. m ÁMK'!H38+'üres lap'!H27</f>
        <v>164747298</v>
      </c>
      <c r="P6" s="452">
        <f>'4.sz.m.ÖNK kiadás'!J7+'5.1 sz. m Köz Hiv'!I35+'5.2 sz. m ÁMK'!I38+'üres lap'!I27</f>
        <v>163048619</v>
      </c>
      <c r="Q6" s="452">
        <f>'4.sz.m.ÖNK kiadás'!K7+'5.1 sz. m Köz Hiv'!J35+'5.2 sz. m ÁMK'!J38+'üres lap'!J27</f>
        <v>154149192</v>
      </c>
      <c r="R6" s="1022">
        <f aca="true" t="shared" si="0" ref="R6:R18">Q6/P6</f>
        <v>0.9454185686785854</v>
      </c>
    </row>
    <row r="7" spans="1:18" ht="12.75">
      <c r="A7" s="346" t="s">
        <v>346</v>
      </c>
      <c r="B7" s="440">
        <f>'3.sz.m Önk  bev.'!E21+'5.1 sz. m Köz Hiv'!D9+'5.2 sz. m ÁMK'!D9-8316000</f>
        <v>41772918</v>
      </c>
      <c r="C7" s="440">
        <f>'3.sz.m Önk  bev.'!F21+'5.1 sz. m Köz Hiv'!E9+'5.2 sz. m ÁMK'!E9-8316000</f>
        <v>41772918</v>
      </c>
      <c r="D7" s="440">
        <f>'3.sz.m Önk  bev.'!G21+'5.1 sz. m Köz Hiv'!F9+'5.2 sz. m ÁMK'!F9</f>
        <v>51846426</v>
      </c>
      <c r="E7" s="440">
        <f>'3.sz.m Önk  bev.'!H21+'5.1 sz. m Köz Hiv'!G9+'5.2 sz. m ÁMK'!G9</f>
        <v>52805334</v>
      </c>
      <c r="F7" s="440">
        <f>'3.sz.m Önk  bev.'!I21+'5.1 sz. m Köz Hiv'!H9+'5.2 sz. m ÁMK'!H9</f>
        <v>53489116</v>
      </c>
      <c r="G7" s="440">
        <f>'3.sz.m Önk  bev.'!J21+'5.1 sz. m Köz Hiv'!I9+'5.2 sz. m ÁMK'!I9</f>
        <v>60456499</v>
      </c>
      <c r="H7" s="440">
        <f>'3.sz.m Önk  bev.'!K21+'5.1 sz. m Köz Hiv'!J9+'5.2 sz. m ÁMK'!J9</f>
        <v>58577285</v>
      </c>
      <c r="I7" s="1023">
        <f aca="true" t="shared" si="1" ref="I7:I31">H7/G7</f>
        <v>0.9689162615916611</v>
      </c>
      <c r="J7" s="424" t="s">
        <v>179</v>
      </c>
      <c r="K7" s="440">
        <f>'4.sz.m.ÖNK kiadás'!E8+'5.1 sz. m Köz Hiv'!D36+'5.2 sz. m ÁMK'!D39+'üres lap'!D28</f>
        <v>43314099</v>
      </c>
      <c r="L7" s="440">
        <f>'4.sz.m.ÖNK kiadás'!F8+'5.1 sz. m Köz Hiv'!E36+'5.2 sz. m ÁMK'!E39+'üres lap'!E28</f>
        <v>43314099</v>
      </c>
      <c r="M7" s="440">
        <f>'4.sz.m.ÖNK kiadás'!G8+'5.1 sz. m Köz Hiv'!F36+'5.2 sz. m ÁMK'!F39+'üres lap'!F28</f>
        <v>43314099</v>
      </c>
      <c r="N7" s="440">
        <f>'4.sz.m.ÖNK kiadás'!H8+'5.1 sz. m Köz Hiv'!G36+'5.2 sz. m ÁMK'!G39+'üres lap'!G28</f>
        <v>43327135</v>
      </c>
      <c r="O7" s="440">
        <f>'4.sz.m.ÖNK kiadás'!I8+'5.1 sz. m Köz Hiv'!H36+'5.2 sz. m ÁMK'!H39+'üres lap'!H28</f>
        <v>43677217</v>
      </c>
      <c r="P7" s="440">
        <f>'4.sz.m.ÖNK kiadás'!J8+'5.1 sz. m Köz Hiv'!I36+'5.2 sz. m ÁMK'!I39+'üres lap'!I28</f>
        <v>42890138</v>
      </c>
      <c r="Q7" s="440">
        <f>'4.sz.m.ÖNK kiadás'!K8+'5.1 sz. m Köz Hiv'!J36+'5.2 sz. m ÁMK'!J39+'üres lap'!J28</f>
        <v>40386806</v>
      </c>
      <c r="R7" s="1023">
        <f t="shared" si="0"/>
        <v>0.9416338553165765</v>
      </c>
    </row>
    <row r="8" spans="1:18" ht="25.5">
      <c r="A8" s="346" t="s">
        <v>347</v>
      </c>
      <c r="B8" s="440">
        <f>'3.sz.m Önk  bev.'!E32+'5.1 sz. m Köz Hiv'!D15+'5.2 sz. m ÁMK'!D18</f>
        <v>279000033</v>
      </c>
      <c r="C8" s="440">
        <f>'3.sz.m Önk  bev.'!F32+'5.1 sz. m Köz Hiv'!E15+'5.2 sz. m ÁMK'!E18</f>
        <v>279000033</v>
      </c>
      <c r="D8" s="440">
        <f>'3.sz.m Önk  bev.'!G32+'5.1 sz. m Köz Hiv'!F15+'5.2 sz. m ÁMK'!F18</f>
        <v>279880420</v>
      </c>
      <c r="E8" s="440">
        <f>'3.sz.m Önk  bev.'!H32+'5.1 sz. m Köz Hiv'!G15+'5.2 sz. m ÁMK'!G18</f>
        <v>279593671</v>
      </c>
      <c r="F8" s="440">
        <f>'3.sz.m Önk  bev.'!I32+'5.1 sz. m Köz Hiv'!H15+'5.2 sz. m ÁMK'!H18</f>
        <v>278790393</v>
      </c>
      <c r="G8" s="440">
        <f>'3.sz.m Önk  bev.'!J32+'5.1 sz. m Köz Hiv'!I15+'5.2 sz. m ÁMK'!I18</f>
        <v>277459740</v>
      </c>
      <c r="H8" s="440">
        <f>'3.sz.m Önk  bev.'!K32+'5.1 sz. m Köz Hiv'!J15+'5.2 sz. m ÁMK'!J18</f>
        <v>277430580</v>
      </c>
      <c r="I8" s="1023">
        <f t="shared" si="1"/>
        <v>0.99989490367143</v>
      </c>
      <c r="J8" s="424" t="s">
        <v>180</v>
      </c>
      <c r="K8" s="440">
        <f>'4.sz.m.ÖNK kiadás'!E9+'5.1 sz. m Köz Hiv'!D37+'5.2 sz. m ÁMK'!D40+'üres lap'!D29</f>
        <v>129033720</v>
      </c>
      <c r="L8" s="440">
        <f>'4.sz.m.ÖNK kiadás'!F9+'5.1 sz. m Köz Hiv'!E37+'5.2 sz. m ÁMK'!E40+'üres lap'!E29</f>
        <v>129033720</v>
      </c>
      <c r="M8" s="440">
        <f>'4.sz.m.ÖNK kiadás'!G9+'5.1 sz. m Köz Hiv'!F37+'5.2 sz. m ÁMK'!F40+'üres lap'!F29</f>
        <v>129553416</v>
      </c>
      <c r="N8" s="440">
        <f>'4.sz.m.ÖNK kiadás'!H9+'5.1 sz. m Köz Hiv'!G37+'5.2 sz. m ÁMK'!G40+'üres lap'!G29</f>
        <v>131773987</v>
      </c>
      <c r="O8" s="440">
        <f>'4.sz.m.ÖNK kiadás'!I9+'5.1 sz. m Köz Hiv'!H37+'5.2 sz. m ÁMK'!H40+'üres lap'!H29</f>
        <v>135071938</v>
      </c>
      <c r="P8" s="440">
        <f>'4.sz.m.ÖNK kiadás'!J9+'5.1 sz. m Köz Hiv'!I37+'5.2 sz. m ÁMK'!I40+'üres lap'!I29</f>
        <v>213916997</v>
      </c>
      <c r="Q8" s="440">
        <f>'4.sz.m.ÖNK kiadás'!K9+'5.1 sz. m Köz Hiv'!J37+'5.2 sz. m ÁMK'!J40+'üres lap'!J29</f>
        <v>110964567</v>
      </c>
      <c r="R8" s="1023">
        <f t="shared" si="0"/>
        <v>0.5187272098813167</v>
      </c>
    </row>
    <row r="9" spans="1:18" ht="12.75">
      <c r="A9" s="346" t="s">
        <v>348</v>
      </c>
      <c r="B9" s="440">
        <f>'3.sz.m Önk  bev.'!E50+'5.1 sz. m Köz Hiv'!D21+'5.2 sz. m ÁMK'!D24</f>
        <v>60000</v>
      </c>
      <c r="C9" s="440">
        <f>'3.sz.m Önk  bev.'!F50+'5.1 sz. m Köz Hiv'!E21+'5.2 sz. m ÁMK'!E24</f>
        <v>60000</v>
      </c>
      <c r="D9" s="440">
        <f>'3.sz.m Önk  bev.'!G50+'5.1 sz. m Köz Hiv'!F21+'5.2 sz. m ÁMK'!F24</f>
        <v>60000</v>
      </c>
      <c r="E9" s="440">
        <f>'3.sz.m Önk  bev.'!H50+'5.1 sz. m Köz Hiv'!G21+'5.2 sz. m ÁMK'!G24</f>
        <v>260000</v>
      </c>
      <c r="F9" s="440">
        <f>'3.sz.m Önk  bev.'!I50+'5.1 sz. m Köz Hiv'!H21+'5.2 sz. m ÁMK'!H24</f>
        <v>260000</v>
      </c>
      <c r="G9" s="440">
        <f>'3.sz.m Önk  bev.'!J50+'5.1 sz. m Köz Hiv'!I21+'5.2 sz. m ÁMK'!I24</f>
        <v>260000</v>
      </c>
      <c r="H9" s="440">
        <f>'3.sz.m Önk  bev.'!K50+'5.1 sz. m Köz Hiv'!J21+'5.2 sz. m ÁMK'!J24</f>
        <v>260000</v>
      </c>
      <c r="I9" s="1023">
        <f t="shared" si="1"/>
        <v>1</v>
      </c>
      <c r="J9" s="424" t="s">
        <v>181</v>
      </c>
      <c r="K9" s="453">
        <f>'4.sz.m.ÖNK kiadás'!E10+'5.1 sz. m Köz Hiv'!D38+'5.2 sz. m ÁMK'!D41+'üres lap'!D30</f>
        <v>4774766</v>
      </c>
      <c r="L9" s="453">
        <f>'4.sz.m.ÖNK kiadás'!F10+'5.1 sz. m Köz Hiv'!E38+'5.2 sz. m ÁMK'!E41+'üres lap'!E30</f>
        <v>4774766</v>
      </c>
      <c r="M9" s="453">
        <f>'4.sz.m.ÖNK kiadás'!G10+'5.1 sz. m Köz Hiv'!F38+'5.2 sz. m ÁMK'!F41+'üres lap'!F30</f>
        <v>4777266</v>
      </c>
      <c r="N9" s="453">
        <f>'4.sz.m.ÖNK kiadás'!H10+'5.1 sz. m Köz Hiv'!G38+'5.2 sz. m ÁMK'!G41+'üres lap'!G30</f>
        <v>4777266</v>
      </c>
      <c r="O9" s="453">
        <f>'4.sz.m.ÖNK kiadás'!I10+'5.1 sz. m Köz Hiv'!H38+'5.2 sz. m ÁMK'!H41+'üres lap'!H30</f>
        <v>4755036</v>
      </c>
      <c r="P9" s="453">
        <f>'4.sz.m.ÖNK kiadás'!J10+'5.1 sz. m Köz Hiv'!I38+'5.2 sz. m ÁMK'!I41+'üres lap'!I30</f>
        <v>5787049</v>
      </c>
      <c r="Q9" s="453">
        <f>'4.sz.m.ÖNK kiadás'!K10+'5.1 sz. m Köz Hiv'!J38+'5.2 sz. m ÁMK'!J41+'üres lap'!J30</f>
        <v>4607920</v>
      </c>
      <c r="R9" s="1024">
        <f t="shared" si="0"/>
        <v>0.7962469299983463</v>
      </c>
    </row>
    <row r="10" spans="1:18" ht="12.75">
      <c r="A10" s="346"/>
      <c r="B10" s="440"/>
      <c r="C10" s="440"/>
      <c r="D10" s="440"/>
      <c r="E10" s="440"/>
      <c r="F10" s="440"/>
      <c r="G10" s="440"/>
      <c r="H10" s="440"/>
      <c r="I10" s="1023"/>
      <c r="J10" s="425" t="s">
        <v>182</v>
      </c>
      <c r="K10" s="440">
        <f>'4.sz.m.ÖNK kiadás'!E11+'5.1 sz. m Köz Hiv'!D39+'5.2 sz. m ÁMK'!D42+'üres lap'!D31</f>
        <v>143300320</v>
      </c>
      <c r="L10" s="440">
        <f>'4.sz.m.ÖNK kiadás'!F11+'5.1 sz. m Köz Hiv'!E39+'5.2 sz. m ÁMK'!E42+'üres lap'!E31</f>
        <v>143481377</v>
      </c>
      <c r="M10" s="440">
        <f>'4.sz.m.ÖNK kiadás'!G11+'5.1 sz. m Köz Hiv'!F39+'5.2 sz. m ÁMK'!F42+'üres lap'!F31</f>
        <v>143491377</v>
      </c>
      <c r="N10" s="440">
        <f>'4.sz.m.ÖNK kiadás'!H11+'5.1 sz. m Köz Hiv'!G39+'5.2 sz. m ÁMK'!G42+'üres lap'!G31</f>
        <v>145756175</v>
      </c>
      <c r="O10" s="440">
        <f>'4.sz.m.ÖNK kiadás'!I11+'5.1 sz. m Köz Hiv'!H39+'5.2 sz. m ÁMK'!H42+'üres lap'!H31</f>
        <v>142145175</v>
      </c>
      <c r="P10" s="440">
        <f>'4.sz.m.ÖNK kiadás'!J11+'5.1 sz. m Köz Hiv'!I39+'5.2 sz. m ÁMK'!I42+'üres lap'!I31</f>
        <v>142983643</v>
      </c>
      <c r="Q10" s="440">
        <f>'4.sz.m.ÖNK kiadás'!K11+'5.1 sz. m Köz Hiv'!J39+'5.2 sz. m ÁMK'!J42+'üres lap'!J31</f>
        <v>141514436</v>
      </c>
      <c r="R10" s="1023">
        <f t="shared" si="0"/>
        <v>0.9897246498328484</v>
      </c>
    </row>
    <row r="11" spans="1:18" ht="12.75">
      <c r="A11" s="346"/>
      <c r="B11" s="440"/>
      <c r="C11" s="440"/>
      <c r="D11" s="440"/>
      <c r="E11" s="440"/>
      <c r="F11" s="440"/>
      <c r="G11" s="440"/>
      <c r="H11" s="440"/>
      <c r="I11" s="1023"/>
      <c r="J11" s="424" t="s">
        <v>183</v>
      </c>
      <c r="K11" s="453">
        <f>'4.sz.m.ÖNK kiadás'!E25</f>
        <v>87607657</v>
      </c>
      <c r="L11" s="453">
        <f>'4.sz.m.ÖNK kiadás'!F25</f>
        <v>58656600</v>
      </c>
      <c r="M11" s="453">
        <f>'4.sz.m.ÖNK kiadás'!G25</f>
        <v>59503503</v>
      </c>
      <c r="N11" s="453">
        <f>'4.sz.m.ÖNK kiadás'!H25</f>
        <v>19959710</v>
      </c>
      <c r="O11" s="453">
        <f>'4.sz.m.ÖNK kiadás'!I25</f>
        <v>19982585</v>
      </c>
      <c r="P11" s="453">
        <f>'4.sz.m.ÖNK kiadás'!J25</f>
        <v>0</v>
      </c>
      <c r="Q11" s="453">
        <f>'4.sz.m.ÖNK kiadás'!K25</f>
        <v>0</v>
      </c>
      <c r="R11" s="1024"/>
    </row>
    <row r="12" spans="1:18" ht="12.75" hidden="1">
      <c r="A12" s="347"/>
      <c r="B12" s="441"/>
      <c r="C12" s="441"/>
      <c r="D12" s="441"/>
      <c r="E12" s="441"/>
      <c r="F12" s="441"/>
      <c r="G12" s="441"/>
      <c r="H12" s="441"/>
      <c r="I12" s="1025" t="e">
        <f t="shared" si="1"/>
        <v>#DIV/0!</v>
      </c>
      <c r="J12" s="426"/>
      <c r="K12" s="441"/>
      <c r="L12" s="441"/>
      <c r="M12" s="441"/>
      <c r="N12" s="441"/>
      <c r="O12" s="441"/>
      <c r="P12" s="441"/>
      <c r="Q12" s="441"/>
      <c r="R12" s="1025" t="e">
        <f t="shared" si="0"/>
        <v>#DIV/0!</v>
      </c>
    </row>
    <row r="13" spans="1:18" ht="16.5" customHeight="1" hidden="1" thickBot="1">
      <c r="A13" s="348"/>
      <c r="B13" s="442"/>
      <c r="C13" s="442"/>
      <c r="D13" s="442"/>
      <c r="E13" s="442"/>
      <c r="F13" s="442"/>
      <c r="G13" s="442"/>
      <c r="H13" s="442"/>
      <c r="I13" s="1026" t="e">
        <f t="shared" si="1"/>
        <v>#DIV/0!</v>
      </c>
      <c r="J13" s="427"/>
      <c r="K13" s="442"/>
      <c r="L13" s="442"/>
      <c r="M13" s="442"/>
      <c r="N13" s="442"/>
      <c r="O13" s="442"/>
      <c r="P13" s="442"/>
      <c r="Q13" s="442"/>
      <c r="R13" s="1026" t="e">
        <f t="shared" si="0"/>
        <v>#DIV/0!</v>
      </c>
    </row>
    <row r="14" spans="1:18" ht="24" customHeight="1" thickBot="1">
      <c r="A14" s="349" t="s">
        <v>185</v>
      </c>
      <c r="B14" s="443">
        <f aca="true" t="shared" si="2" ref="B14:G14">SUM(B6:B9)</f>
        <v>452192951</v>
      </c>
      <c r="C14" s="443">
        <f t="shared" si="2"/>
        <v>452192951</v>
      </c>
      <c r="D14" s="443">
        <f t="shared" si="2"/>
        <v>463951499</v>
      </c>
      <c r="E14" s="443">
        <f t="shared" si="2"/>
        <v>464985846</v>
      </c>
      <c r="F14" s="443">
        <f t="shared" si="2"/>
        <v>466915712</v>
      </c>
      <c r="G14" s="443">
        <f t="shared" si="2"/>
        <v>517022564</v>
      </c>
      <c r="H14" s="443">
        <f>SUM(H6:H9)</f>
        <v>506706708</v>
      </c>
      <c r="I14" s="1027">
        <f t="shared" si="1"/>
        <v>0.9800475709992418</v>
      </c>
      <c r="J14" s="633" t="s">
        <v>186</v>
      </c>
      <c r="K14" s="443">
        <f aca="true" t="shared" si="3" ref="K14:P14">SUM(K6:K13)</f>
        <v>571707858</v>
      </c>
      <c r="L14" s="443">
        <f t="shared" si="3"/>
        <v>542937858</v>
      </c>
      <c r="M14" s="443">
        <f t="shared" si="3"/>
        <v>544316957</v>
      </c>
      <c r="N14" s="443">
        <f t="shared" si="3"/>
        <v>509121571</v>
      </c>
      <c r="O14" s="443">
        <f t="shared" si="3"/>
        <v>510379249</v>
      </c>
      <c r="P14" s="443">
        <f t="shared" si="3"/>
        <v>568626446</v>
      </c>
      <c r="Q14" s="443">
        <f>SUM(Q6:Q13)</f>
        <v>451622921</v>
      </c>
      <c r="R14" s="1027">
        <f t="shared" si="0"/>
        <v>0.7942348165072857</v>
      </c>
    </row>
    <row r="15" spans="1:18" ht="18.75" customHeight="1">
      <c r="A15" s="350" t="s">
        <v>534</v>
      </c>
      <c r="B15" s="344">
        <f>'3.sz.m Önk  bev.'!E59+'5.1 sz. m Köz Hiv'!D26+'5.2 sz. m ÁMK'!D29-B26</f>
        <v>128479128</v>
      </c>
      <c r="C15" s="344">
        <f>'3.sz.m Önk  bev.'!F59+'5.1 sz. m Köz Hiv'!E26+'5.2 sz. m ÁMK'!E29-10090000</f>
        <v>128479128</v>
      </c>
      <c r="D15" s="344">
        <f>'3.sz.m Önk  bev.'!G59+'5.1 sz. m Köz Hiv'!F26+'5.2 sz. m ÁMK'!F29-10090000-8316000-2061005</f>
        <v>118099679</v>
      </c>
      <c r="E15" s="344">
        <f>'3.sz.m Önk  bev.'!H59+'5.1 sz. m Köz Hiv'!G26+'5.2 sz. m ÁMK'!G29-10090000-8316000-2061005-36229733</f>
        <v>81869946</v>
      </c>
      <c r="F15" s="344">
        <f>'3.sz.m Önk  bev.'!I59+'5.1 sz. m Köz Hiv'!H26+'5.2 sz. m ÁMK'!H29-10090000-8316000-2061005-36229733-672188</f>
        <v>81197758</v>
      </c>
      <c r="G15" s="344">
        <f>'3.sz.m Önk  bev.'!J59+'5.1 sz. m Köz Hiv'!I26+'5.2 sz. m ÁMK'!I29-57351000</f>
        <v>81215684</v>
      </c>
      <c r="H15" s="344">
        <f>'3.sz.m Önk  bev.'!K59+'5.1 sz. m Köz Hiv'!J26+'5.2 sz. m ÁMK'!J29-57351000</f>
        <v>81215684</v>
      </c>
      <c r="I15" s="1038">
        <f t="shared" si="1"/>
        <v>1</v>
      </c>
      <c r="J15" s="423" t="s">
        <v>542</v>
      </c>
      <c r="K15" s="439">
        <v>0</v>
      </c>
      <c r="L15" s="439">
        <f>'4.sz.m.ÖNK kiadás'!F34</f>
        <v>28770000</v>
      </c>
      <c r="M15" s="439">
        <f>'4.sz.m.ÖNK kiadás'!G34</f>
        <v>28770000</v>
      </c>
      <c r="N15" s="439">
        <f>'4.sz.m.ÖNK kiadás'!H34</f>
        <v>28770000</v>
      </c>
      <c r="O15" s="439">
        <f>'4.sz.m.ÖNK kiadás'!I34</f>
        <v>28770000</v>
      </c>
      <c r="P15" s="439">
        <f>'4.sz.m.ÖNK kiadás'!J34</f>
        <v>28770000</v>
      </c>
      <c r="Q15" s="439">
        <f>'4.sz.m.ÖNK kiadás'!K34</f>
        <v>28770000</v>
      </c>
      <c r="R15" s="1028">
        <f t="shared" si="0"/>
        <v>1</v>
      </c>
    </row>
    <row r="16" spans="1:18" ht="15" customHeight="1" thickBot="1">
      <c r="A16" s="351" t="s">
        <v>500</v>
      </c>
      <c r="B16" s="444"/>
      <c r="C16" s="444"/>
      <c r="D16" s="444"/>
      <c r="E16" s="444"/>
      <c r="F16" s="444"/>
      <c r="G16" s="444">
        <f>'3.sz.m Önk  bev.'!J58</f>
        <v>8122419</v>
      </c>
      <c r="H16" s="444">
        <f>'3.sz.m Önk  bev.'!K58</f>
        <v>8122419</v>
      </c>
      <c r="I16" s="1039">
        <f t="shared" si="1"/>
        <v>1</v>
      </c>
      <c r="J16" s="426" t="s">
        <v>473</v>
      </c>
      <c r="K16" s="441">
        <f>'4.sz.m.ÖNK kiadás'!E36</f>
        <v>8964221</v>
      </c>
      <c r="L16" s="441">
        <f>'4.sz.m.ÖNK kiadás'!F36</f>
        <v>8964221</v>
      </c>
      <c r="M16" s="441">
        <f>'4.sz.m.ÖNK kiadás'!G36</f>
        <v>8964221</v>
      </c>
      <c r="N16" s="441">
        <f>'4.sz.m.ÖNK kiadás'!H36</f>
        <v>8964221</v>
      </c>
      <c r="O16" s="441">
        <f>'4.sz.m.ÖNK kiadás'!I36</f>
        <v>8964221</v>
      </c>
      <c r="P16" s="441">
        <f>'4.sz.m.ÖNK kiadás'!J36</f>
        <v>8964221</v>
      </c>
      <c r="Q16" s="441">
        <f>'4.sz.m.ÖNK kiadás'!K36</f>
        <v>8964221</v>
      </c>
      <c r="R16" s="1025">
        <f t="shared" si="0"/>
        <v>1</v>
      </c>
    </row>
    <row r="17" spans="1:18" ht="25.5" customHeight="1" thickBot="1">
      <c r="A17" s="352" t="s">
        <v>190</v>
      </c>
      <c r="B17" s="445">
        <f aca="true" t="shared" si="4" ref="B17:G17">SUM(B15:B16)</f>
        <v>128479128</v>
      </c>
      <c r="C17" s="445">
        <f t="shared" si="4"/>
        <v>128479128</v>
      </c>
      <c r="D17" s="445">
        <f t="shared" si="4"/>
        <v>118099679</v>
      </c>
      <c r="E17" s="445">
        <f t="shared" si="4"/>
        <v>81869946</v>
      </c>
      <c r="F17" s="445">
        <f t="shared" si="4"/>
        <v>81197758</v>
      </c>
      <c r="G17" s="445">
        <f t="shared" si="4"/>
        <v>89338103</v>
      </c>
      <c r="H17" s="445">
        <f>SUM(H15:H16)</f>
        <v>89338103</v>
      </c>
      <c r="I17" s="1029">
        <f t="shared" si="1"/>
        <v>1</v>
      </c>
      <c r="J17" s="428" t="s">
        <v>197</v>
      </c>
      <c r="K17" s="445">
        <f aca="true" t="shared" si="5" ref="K17:P17">SUM(K15:K16)</f>
        <v>8964221</v>
      </c>
      <c r="L17" s="445">
        <f t="shared" si="5"/>
        <v>37734221</v>
      </c>
      <c r="M17" s="445">
        <f t="shared" si="5"/>
        <v>37734221</v>
      </c>
      <c r="N17" s="445">
        <f t="shared" si="5"/>
        <v>37734221</v>
      </c>
      <c r="O17" s="445">
        <f t="shared" si="5"/>
        <v>37734221</v>
      </c>
      <c r="P17" s="445">
        <f t="shared" si="5"/>
        <v>37734221</v>
      </c>
      <c r="Q17" s="445">
        <f>SUM(Q15:Q16)</f>
        <v>37734221</v>
      </c>
      <c r="R17" s="1029">
        <f t="shared" si="0"/>
        <v>1</v>
      </c>
    </row>
    <row r="18" spans="1:18" ht="22.5" customHeight="1" thickBot="1">
      <c r="A18" s="353" t="s">
        <v>171</v>
      </c>
      <c r="B18" s="446">
        <f aca="true" t="shared" si="6" ref="B18:G18">B14+B17</f>
        <v>580672079</v>
      </c>
      <c r="C18" s="446">
        <f t="shared" si="6"/>
        <v>580672079</v>
      </c>
      <c r="D18" s="446">
        <f t="shared" si="6"/>
        <v>582051178</v>
      </c>
      <c r="E18" s="446">
        <f t="shared" si="6"/>
        <v>546855792</v>
      </c>
      <c r="F18" s="446">
        <f t="shared" si="6"/>
        <v>548113470</v>
      </c>
      <c r="G18" s="446">
        <f t="shared" si="6"/>
        <v>606360667</v>
      </c>
      <c r="H18" s="446">
        <f>H14+H17</f>
        <v>596044811</v>
      </c>
      <c r="I18" s="1030">
        <f t="shared" si="1"/>
        <v>0.9829872606166257</v>
      </c>
      <c r="J18" s="429" t="s">
        <v>172</v>
      </c>
      <c r="K18" s="446">
        <f aca="true" t="shared" si="7" ref="K18:P18">K14+K17</f>
        <v>580672079</v>
      </c>
      <c r="L18" s="446">
        <f t="shared" si="7"/>
        <v>580672079</v>
      </c>
      <c r="M18" s="446">
        <f t="shared" si="7"/>
        <v>582051178</v>
      </c>
      <c r="N18" s="446">
        <f t="shared" si="7"/>
        <v>546855792</v>
      </c>
      <c r="O18" s="446">
        <f t="shared" si="7"/>
        <v>548113470</v>
      </c>
      <c r="P18" s="446">
        <f t="shared" si="7"/>
        <v>606360667</v>
      </c>
      <c r="Q18" s="446">
        <f>Q14+Q17</f>
        <v>489357142</v>
      </c>
      <c r="R18" s="1030">
        <f t="shared" si="0"/>
        <v>0.807039718491503</v>
      </c>
    </row>
    <row r="19" spans="1:13" ht="22.5" customHeight="1" thickBot="1">
      <c r="A19" s="1370" t="s">
        <v>205</v>
      </c>
      <c r="B19" s="1371"/>
      <c r="C19" s="1371"/>
      <c r="D19" s="1371"/>
      <c r="E19" s="1371"/>
      <c r="F19" s="1371"/>
      <c r="G19" s="1371"/>
      <c r="H19" s="1371"/>
      <c r="I19" s="1371"/>
      <c r="J19" s="1370"/>
      <c r="K19" s="1371"/>
      <c r="L19" s="31"/>
      <c r="M19" s="31"/>
    </row>
    <row r="20" spans="1:18" ht="12.75">
      <c r="A20" s="345" t="s">
        <v>173</v>
      </c>
      <c r="B20" s="447">
        <f>'3.sz.m Önk  bev.'!E43+'5.1 sz. m Köz Hiv'!D18+'5.2 sz. m ÁMK'!D21</f>
        <v>6000000</v>
      </c>
      <c r="C20" s="447">
        <f>'3.sz.m Önk  bev.'!F41+'5.1 sz. m Köz Hiv'!E18+'5.2 sz. m ÁMK'!E21</f>
        <v>6000000</v>
      </c>
      <c r="D20" s="447">
        <f>'3.sz.m Önk  bev.'!G41+'5.1 sz. m Köz Hiv'!F18+'5.2 sz. m ÁMK'!F21</f>
        <v>6000000</v>
      </c>
      <c r="E20" s="447">
        <f>'3.sz.m Önk  bev.'!H41+'5.1 sz. m Köz Hiv'!G18+'5.2 sz. m ÁMK'!G21</f>
        <v>7500000</v>
      </c>
      <c r="F20" s="447">
        <f>'3.sz.m Önk  bev.'!I41+'5.1 sz. m Köz Hiv'!H18+'5.2 sz. m ÁMK'!H21</f>
        <v>7500000</v>
      </c>
      <c r="G20" s="447">
        <f>'3.sz.m Önk  bev.'!J41+'5.1 sz. m Köz Hiv'!I18+'5.2 sz. m ÁMK'!I21</f>
        <v>7500000</v>
      </c>
      <c r="H20" s="447">
        <f>'3.sz.m Önk  bev.'!K41+'5.1 sz. m Köz Hiv'!J18+'5.2 sz. m ÁMK'!J21</f>
        <v>7500000</v>
      </c>
      <c r="I20" s="1033">
        <f t="shared" si="1"/>
        <v>1</v>
      </c>
      <c r="J20" s="430" t="s">
        <v>175</v>
      </c>
      <c r="K20" s="452">
        <f>'4.sz.m.ÖNK kiadás'!E18+'5.1 sz. m Köz Hiv'!D41+'5.2 sz. m ÁMK'!D44</f>
        <v>2406000</v>
      </c>
      <c r="L20" s="452">
        <f>'4.sz.m.ÖNK kiadás'!F18+'5.1 sz. m Köz Hiv'!E41+'5.2 sz. m ÁMK'!E44</f>
        <v>2406000</v>
      </c>
      <c r="M20" s="452">
        <f>'4.sz.m.ÖNK kiadás'!G18+'5.1 sz. m Köz Hiv'!F41+'5.2 sz. m ÁMK'!F44</f>
        <v>4682220</v>
      </c>
      <c r="N20" s="452">
        <f>'4.sz.m.ÖNK kiadás'!H18+'5.1 sz. m Köz Hiv'!G41+'5.2 sz. m ÁMK'!G44</f>
        <v>7651650</v>
      </c>
      <c r="O20" s="452">
        <f>'4.sz.m.ÖNK kiadás'!I18+'5.1 sz. m Köz Hiv'!H41+'5.2 sz. m ÁMK'!H44</f>
        <v>8002170</v>
      </c>
      <c r="P20" s="452">
        <f>'4.sz.m.ÖNK kiadás'!J18+'5.1 sz. m Köz Hiv'!I41+'5.2 sz. m ÁMK'!I44</f>
        <v>11136002</v>
      </c>
      <c r="Q20" s="452">
        <f>'4.sz.m.ÖNK kiadás'!K18+'5.1 sz. m Köz Hiv'!J41+'5.2 sz. m ÁMK'!J44</f>
        <v>11136002</v>
      </c>
      <c r="R20" s="1022">
        <f aca="true" t="shared" si="8" ref="R20:R31">Q20/P20</f>
        <v>1</v>
      </c>
    </row>
    <row r="21" spans="1:18" ht="25.5">
      <c r="A21" s="346" t="s">
        <v>1128</v>
      </c>
      <c r="B21" s="440">
        <v>0</v>
      </c>
      <c r="C21" s="440"/>
      <c r="D21" s="440">
        <f>'3.sz.m Önk  bev.'!G51</f>
        <v>300000</v>
      </c>
      <c r="E21" s="440">
        <f>'3.sz.m Önk  bev.'!H51</f>
        <v>4638034</v>
      </c>
      <c r="F21" s="440">
        <f>'3.sz.m Önk  bev.'!I51</f>
        <v>4664034</v>
      </c>
      <c r="G21" s="440">
        <f>'3.sz.m Önk  bev.'!J51</f>
        <v>8257167</v>
      </c>
      <c r="H21" s="440">
        <f>'3.sz.m Önk  bev.'!K51</f>
        <v>8257167</v>
      </c>
      <c r="I21" s="1023">
        <f t="shared" si="1"/>
        <v>1</v>
      </c>
      <c r="J21" s="424" t="s">
        <v>176</v>
      </c>
      <c r="K21" s="440">
        <f>'4.sz.m.ÖNK kiadás'!E19</f>
        <v>29000000</v>
      </c>
      <c r="L21" s="440">
        <f>'4.sz.m.ÖNK kiadás'!F19+'5.2 sz. m ÁMK'!E46</f>
        <v>29000000</v>
      </c>
      <c r="M21" s="440">
        <f>'4.sz.m.ÖNK kiadás'!G19+'5.2 sz. m ÁMK'!F46</f>
        <v>25404181</v>
      </c>
      <c r="N21" s="440">
        <f>'4.sz.m.ÖNK kiadás'!H19+'5.2 sz. m ÁMK'!G46</f>
        <v>27387324</v>
      </c>
      <c r="O21" s="440">
        <f>'4.sz.m.ÖNK kiadás'!I19+'5.2 sz. m ÁMK'!H46</f>
        <v>27734992</v>
      </c>
      <c r="P21" s="440">
        <f>'4.sz.m.ÖNK kiadás'!J19+'5.2 sz. m ÁMK'!I46</f>
        <v>27734992</v>
      </c>
      <c r="Q21" s="440">
        <f>'4.sz.m.ÖNK kiadás'!K19+'5.2 sz. m ÁMK'!J46</f>
        <v>17474376</v>
      </c>
      <c r="R21" s="1023">
        <f t="shared" si="8"/>
        <v>0.6300479913605167</v>
      </c>
    </row>
    <row r="22" spans="1:18" ht="12.75">
      <c r="A22" s="346" t="s">
        <v>174</v>
      </c>
      <c r="B22" s="440">
        <v>8316000</v>
      </c>
      <c r="C22" s="440">
        <v>8316000</v>
      </c>
      <c r="D22" s="440">
        <f>'3.sz.m Önk  bev.'!G53</f>
        <v>4115</v>
      </c>
      <c r="E22" s="440">
        <f>'3.sz.m Önk  bev.'!H52</f>
        <v>10004115</v>
      </c>
      <c r="F22" s="440">
        <f>'3.sz.m Önk  bev.'!I52</f>
        <v>10004115</v>
      </c>
      <c r="G22" s="440">
        <f>'3.sz.m Önk  bev.'!J52</f>
        <v>10004115</v>
      </c>
      <c r="H22" s="440">
        <f>'3.sz.m Önk  bev.'!K52</f>
        <v>10004115</v>
      </c>
      <c r="I22" s="1023">
        <f t="shared" si="1"/>
        <v>1</v>
      </c>
      <c r="J22" s="424" t="s">
        <v>177</v>
      </c>
      <c r="K22" s="440">
        <f>'4.sz.m.ÖNK kiadás'!E20</f>
        <v>5000000</v>
      </c>
      <c r="L22" s="440">
        <f>'4.sz.m.ÖNK kiadás'!F20</f>
        <v>5000000</v>
      </c>
      <c r="M22" s="440">
        <f>'4.sz.m.ÖNK kiadás'!G20</f>
        <v>5000000</v>
      </c>
      <c r="N22" s="440">
        <f>'4.sz.m.ÖNK kiadás'!H20</f>
        <v>51359259</v>
      </c>
      <c r="O22" s="440">
        <f>'4.sz.m.ÖNK kiadás'!I20</f>
        <v>51359259</v>
      </c>
      <c r="P22" s="440">
        <f>'4.sz.m.ÖNK kiadás'!J20</f>
        <v>51800634</v>
      </c>
      <c r="Q22" s="440">
        <f>'4.sz.m.ÖNK kiadás'!K20</f>
        <v>51800634</v>
      </c>
      <c r="R22" s="1023">
        <f t="shared" si="8"/>
        <v>1</v>
      </c>
    </row>
    <row r="23" spans="1:18" ht="13.5" thickBot="1">
      <c r="A23" s="346"/>
      <c r="B23" s="440"/>
      <c r="C23" s="440"/>
      <c r="D23" s="440"/>
      <c r="E23" s="440"/>
      <c r="F23" s="440"/>
      <c r="G23" s="440"/>
      <c r="H23" s="440"/>
      <c r="I23" s="1023"/>
      <c r="J23" s="424" t="s">
        <v>184</v>
      </c>
      <c r="K23" s="440"/>
      <c r="L23" s="440"/>
      <c r="M23" s="440"/>
      <c r="N23" s="440"/>
      <c r="O23" s="440"/>
      <c r="P23" s="440"/>
      <c r="Q23" s="440"/>
      <c r="R23" s="1023"/>
    </row>
    <row r="24" spans="1:18" ht="13.5" hidden="1" thickBot="1">
      <c r="A24" s="355"/>
      <c r="B24" s="441"/>
      <c r="C24" s="441"/>
      <c r="D24" s="441"/>
      <c r="E24" s="441"/>
      <c r="F24" s="441"/>
      <c r="G24" s="441"/>
      <c r="H24" s="441"/>
      <c r="I24" s="1025" t="e">
        <f t="shared" si="1"/>
        <v>#DIV/0!</v>
      </c>
      <c r="J24" s="426"/>
      <c r="K24" s="441"/>
      <c r="L24" s="441"/>
      <c r="M24" s="441"/>
      <c r="N24" s="441"/>
      <c r="O24" s="441"/>
      <c r="P24" s="441"/>
      <c r="Q24" s="441"/>
      <c r="R24" s="1025" t="e">
        <f t="shared" si="8"/>
        <v>#DIV/0!</v>
      </c>
    </row>
    <row r="25" spans="1:18" ht="13.5" thickBot="1">
      <c r="A25" s="356" t="s">
        <v>188</v>
      </c>
      <c r="B25" s="446">
        <f aca="true" t="shared" si="9" ref="B25:G25">SUM(B20:B23)</f>
        <v>14316000</v>
      </c>
      <c r="C25" s="446">
        <f t="shared" si="9"/>
        <v>14316000</v>
      </c>
      <c r="D25" s="446">
        <f t="shared" si="9"/>
        <v>6304115</v>
      </c>
      <c r="E25" s="446">
        <f t="shared" si="9"/>
        <v>22142149</v>
      </c>
      <c r="F25" s="446">
        <f t="shared" si="9"/>
        <v>22168149</v>
      </c>
      <c r="G25" s="446">
        <f t="shared" si="9"/>
        <v>25761282</v>
      </c>
      <c r="H25" s="446">
        <f>SUM(H20:H23)</f>
        <v>25761282</v>
      </c>
      <c r="I25" s="1030">
        <f t="shared" si="1"/>
        <v>1</v>
      </c>
      <c r="J25" s="431" t="s">
        <v>187</v>
      </c>
      <c r="K25" s="454">
        <f aca="true" t="shared" si="10" ref="K25:P25">SUM(K20:K24)</f>
        <v>36406000</v>
      </c>
      <c r="L25" s="454">
        <f t="shared" si="10"/>
        <v>36406000</v>
      </c>
      <c r="M25" s="454">
        <f t="shared" si="10"/>
        <v>35086401</v>
      </c>
      <c r="N25" s="454">
        <f t="shared" si="10"/>
        <v>86398233</v>
      </c>
      <c r="O25" s="454">
        <f t="shared" si="10"/>
        <v>87096421</v>
      </c>
      <c r="P25" s="454">
        <f t="shared" si="10"/>
        <v>90671628</v>
      </c>
      <c r="Q25" s="454">
        <f>SUM(Q20:Q24)</f>
        <v>80411012</v>
      </c>
      <c r="R25" s="1031">
        <f t="shared" si="8"/>
        <v>0.8868376334877323</v>
      </c>
    </row>
    <row r="26" spans="1:18" ht="15" customHeight="1">
      <c r="A26" s="350" t="s">
        <v>534</v>
      </c>
      <c r="B26" s="448">
        <v>10090000</v>
      </c>
      <c r="C26" s="448">
        <v>10090000</v>
      </c>
      <c r="D26" s="448">
        <f>10090000+8316000+2061005</f>
        <v>20467005</v>
      </c>
      <c r="E26" s="448">
        <f>10090000+8316000+2061005+36229733</f>
        <v>56696738</v>
      </c>
      <c r="F26" s="448">
        <f>10090000+8316000+2061005+36229733+672188</f>
        <v>57368926</v>
      </c>
      <c r="G26" s="448">
        <v>57351000</v>
      </c>
      <c r="H26" s="448">
        <v>57351000</v>
      </c>
      <c r="I26" s="1034">
        <f t="shared" si="1"/>
        <v>1</v>
      </c>
      <c r="J26" s="432" t="s">
        <v>189</v>
      </c>
      <c r="K26" s="439"/>
      <c r="L26" s="439"/>
      <c r="M26" s="439"/>
      <c r="N26" s="439">
        <f>'4.sz.m.ÖNK kiadás'!H33</f>
        <v>755935</v>
      </c>
      <c r="O26" s="439">
        <f>'4.sz.m.ÖNK kiadás'!I33</f>
        <v>755935</v>
      </c>
      <c r="P26" s="439">
        <f>'4.sz.m.ÖNK kiadás'!J33</f>
        <v>755935</v>
      </c>
      <c r="Q26" s="439">
        <f>'4.sz.m.ÖNK kiadás'!K33</f>
        <v>0</v>
      </c>
      <c r="R26" s="1028">
        <f t="shared" si="8"/>
        <v>0</v>
      </c>
    </row>
    <row r="27" spans="1:18" ht="13.5" thickBot="1">
      <c r="A27" s="351" t="s">
        <v>170</v>
      </c>
      <c r="B27" s="449">
        <f>'3.sz.m Önk  bev.'!E57</f>
        <v>12000000</v>
      </c>
      <c r="C27" s="449">
        <f>'3.sz.m Önk  bev.'!F57</f>
        <v>12000000</v>
      </c>
      <c r="D27" s="449">
        <f>'3.sz.m Önk  bev.'!G57</f>
        <v>8315281</v>
      </c>
      <c r="E27" s="449">
        <f>'3.sz.m Önk  bev.'!H57</f>
        <v>8315281</v>
      </c>
      <c r="F27" s="449">
        <f>'3.sz.m Önk  bev.'!I57</f>
        <v>8315281</v>
      </c>
      <c r="G27" s="449">
        <f>'3.sz.m Önk  bev.'!J57</f>
        <v>8315281</v>
      </c>
      <c r="H27" s="449">
        <f>'3.sz.m Önk  bev.'!K57</f>
        <v>8315281</v>
      </c>
      <c r="I27" s="1035">
        <f t="shared" si="1"/>
        <v>1</v>
      </c>
      <c r="J27" s="433"/>
      <c r="K27" s="441"/>
      <c r="L27" s="441"/>
      <c r="M27" s="441"/>
      <c r="N27" s="441"/>
      <c r="O27" s="441"/>
      <c r="P27" s="441"/>
      <c r="Q27" s="441"/>
      <c r="R27" s="1025"/>
    </row>
    <row r="28" spans="1:18" ht="25.5" customHeight="1" thickBot="1">
      <c r="A28" s="357" t="s">
        <v>191</v>
      </c>
      <c r="B28" s="445">
        <f aca="true" t="shared" si="11" ref="B28:G28">SUM(B26:B27)</f>
        <v>22090000</v>
      </c>
      <c r="C28" s="445">
        <f t="shared" si="11"/>
        <v>22090000</v>
      </c>
      <c r="D28" s="445">
        <f t="shared" si="11"/>
        <v>28782286</v>
      </c>
      <c r="E28" s="445">
        <f t="shared" si="11"/>
        <v>65012019</v>
      </c>
      <c r="F28" s="445">
        <f t="shared" si="11"/>
        <v>65684207</v>
      </c>
      <c r="G28" s="445">
        <f t="shared" si="11"/>
        <v>65666281</v>
      </c>
      <c r="H28" s="445">
        <f>SUM(H26:H27)</f>
        <v>65666281</v>
      </c>
      <c r="I28" s="1029">
        <f t="shared" si="1"/>
        <v>1</v>
      </c>
      <c r="J28" s="431" t="s">
        <v>192</v>
      </c>
      <c r="K28" s="446">
        <f aca="true" t="shared" si="12" ref="K28:P28">SUM(K26:K27)</f>
        <v>0</v>
      </c>
      <c r="L28" s="446">
        <f t="shared" si="12"/>
        <v>0</v>
      </c>
      <c r="M28" s="446">
        <f t="shared" si="12"/>
        <v>0</v>
      </c>
      <c r="N28" s="446">
        <f t="shared" si="12"/>
        <v>755935</v>
      </c>
      <c r="O28" s="446">
        <f t="shared" si="12"/>
        <v>755935</v>
      </c>
      <c r="P28" s="446">
        <f t="shared" si="12"/>
        <v>755935</v>
      </c>
      <c r="Q28" s="446">
        <f>SUM(Q26:Q27)</f>
        <v>0</v>
      </c>
      <c r="R28" s="1030">
        <f t="shared" si="8"/>
        <v>0</v>
      </c>
    </row>
    <row r="29" spans="1:18" ht="26.25" customHeight="1" thickBot="1">
      <c r="A29" s="354" t="s">
        <v>193</v>
      </c>
      <c r="B29" s="446">
        <f aca="true" t="shared" si="13" ref="B29:G29">B25+B28</f>
        <v>36406000</v>
      </c>
      <c r="C29" s="446">
        <f t="shared" si="13"/>
        <v>36406000</v>
      </c>
      <c r="D29" s="446">
        <f t="shared" si="13"/>
        <v>35086401</v>
      </c>
      <c r="E29" s="446">
        <f t="shared" si="13"/>
        <v>87154168</v>
      </c>
      <c r="F29" s="446">
        <f t="shared" si="13"/>
        <v>87852356</v>
      </c>
      <c r="G29" s="446">
        <f t="shared" si="13"/>
        <v>91427563</v>
      </c>
      <c r="H29" s="446">
        <f>H25+H28</f>
        <v>91427563</v>
      </c>
      <c r="I29" s="1030">
        <f t="shared" si="1"/>
        <v>1</v>
      </c>
      <c r="J29" s="434" t="s">
        <v>194</v>
      </c>
      <c r="K29" s="446">
        <f aca="true" t="shared" si="14" ref="K29:P29">K28+K25</f>
        <v>36406000</v>
      </c>
      <c r="L29" s="446">
        <f t="shared" si="14"/>
        <v>36406000</v>
      </c>
      <c r="M29" s="446">
        <f t="shared" si="14"/>
        <v>35086401</v>
      </c>
      <c r="N29" s="446">
        <f t="shared" si="14"/>
        <v>87154168</v>
      </c>
      <c r="O29" s="446">
        <f t="shared" si="14"/>
        <v>87852356</v>
      </c>
      <c r="P29" s="446">
        <f t="shared" si="14"/>
        <v>91427563</v>
      </c>
      <c r="Q29" s="446">
        <f>Q28+Q25</f>
        <v>80411012</v>
      </c>
      <c r="R29" s="1030">
        <f t="shared" si="8"/>
        <v>0.8795051444168975</v>
      </c>
    </row>
    <row r="30" spans="1:18" ht="26.25" customHeight="1" hidden="1" thickBot="1">
      <c r="A30" s="354" t="s">
        <v>250</v>
      </c>
      <c r="B30" s="450"/>
      <c r="C30" s="450"/>
      <c r="D30" s="450"/>
      <c r="E30" s="450"/>
      <c r="F30" s="450"/>
      <c r="G30" s="450"/>
      <c r="H30" s="450"/>
      <c r="I30" s="1036" t="e">
        <f t="shared" si="1"/>
        <v>#DIV/0!</v>
      </c>
      <c r="J30" s="434" t="s">
        <v>249</v>
      </c>
      <c r="K30" s="446"/>
      <c r="L30" s="446"/>
      <c r="M30" s="446"/>
      <c r="N30" s="446"/>
      <c r="O30" s="446"/>
      <c r="P30" s="446"/>
      <c r="Q30" s="446"/>
      <c r="R30" s="1030" t="e">
        <f t="shared" si="8"/>
        <v>#DIV/0!</v>
      </c>
    </row>
    <row r="31" spans="1:18" ht="29.25" customHeight="1" thickBot="1">
      <c r="A31" s="358" t="s">
        <v>195</v>
      </c>
      <c r="B31" s="451">
        <f aca="true" t="shared" si="15" ref="B31:G31">B18+B29</f>
        <v>617078079</v>
      </c>
      <c r="C31" s="451">
        <f t="shared" si="15"/>
        <v>617078079</v>
      </c>
      <c r="D31" s="451">
        <f t="shared" si="15"/>
        <v>617137579</v>
      </c>
      <c r="E31" s="451">
        <f t="shared" si="15"/>
        <v>634009960</v>
      </c>
      <c r="F31" s="451">
        <f t="shared" si="15"/>
        <v>635965826</v>
      </c>
      <c r="G31" s="451">
        <f t="shared" si="15"/>
        <v>697788230</v>
      </c>
      <c r="H31" s="451">
        <f>H18+H29</f>
        <v>687472374</v>
      </c>
      <c r="I31" s="1037">
        <f t="shared" si="1"/>
        <v>0.985216351385004</v>
      </c>
      <c r="J31" s="435" t="s">
        <v>196</v>
      </c>
      <c r="K31" s="455">
        <f aca="true" t="shared" si="16" ref="K31:P31">K29+K18</f>
        <v>617078079</v>
      </c>
      <c r="L31" s="455">
        <f t="shared" si="16"/>
        <v>617078079</v>
      </c>
      <c r="M31" s="455">
        <f t="shared" si="16"/>
        <v>617137579</v>
      </c>
      <c r="N31" s="455">
        <f t="shared" si="16"/>
        <v>634009960</v>
      </c>
      <c r="O31" s="455">
        <f t="shared" si="16"/>
        <v>635965826</v>
      </c>
      <c r="P31" s="455">
        <f t="shared" si="16"/>
        <v>697788230</v>
      </c>
      <c r="Q31" s="455">
        <f>Q29+Q18</f>
        <v>569768154</v>
      </c>
      <c r="R31" s="1032">
        <f t="shared" si="8"/>
        <v>0.8165344864014115</v>
      </c>
    </row>
    <row r="33" spans="2:11" ht="12.75">
      <c r="B33" s="31"/>
      <c r="C33" s="31"/>
      <c r="D33" s="31"/>
      <c r="E33" s="31"/>
      <c r="F33" s="31"/>
      <c r="G33" s="31"/>
      <c r="H33" s="31"/>
      <c r="I33" s="31"/>
      <c r="K33" s="31"/>
    </row>
    <row r="34" spans="5:16" ht="12.75">
      <c r="E34" s="31"/>
      <c r="F34" s="31"/>
      <c r="N34" s="31"/>
      <c r="O34" s="31"/>
      <c r="P34" s="31"/>
    </row>
    <row r="35" ht="12.75">
      <c r="J35" s="31"/>
    </row>
  </sheetData>
  <sheetProtection/>
  <mergeCells count="4">
    <mergeCell ref="J1:K1"/>
    <mergeCell ref="A2:K2"/>
    <mergeCell ref="A19:K19"/>
    <mergeCell ref="A4:K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5" max="30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5" sqref="B15:C15"/>
    </sheetView>
  </sheetViews>
  <sheetFormatPr defaultColWidth="9.140625" defaultRowHeight="12.75"/>
  <cols>
    <col min="1" max="1" width="8.421875" style="1068" bestFit="1" customWidth="1"/>
    <col min="2" max="2" width="42.7109375" style="1068" bestFit="1" customWidth="1"/>
    <col min="3" max="3" width="17.421875" style="1068" customWidth="1"/>
    <col min="4" max="16384" width="9.140625" style="1068" customWidth="1"/>
  </cols>
  <sheetData>
    <row r="1" spans="1:3" ht="12.75" customHeight="1">
      <c r="A1" s="1067"/>
      <c r="B1" s="1599" t="s">
        <v>1122</v>
      </c>
      <c r="C1" s="1599"/>
    </row>
    <row r="2" spans="1:3" ht="14.25">
      <c r="A2" s="1069"/>
      <c r="B2" s="1069"/>
      <c r="C2" s="1069"/>
    </row>
    <row r="3" spans="1:3" ht="14.25">
      <c r="A3" s="1600" t="s">
        <v>632</v>
      </c>
      <c r="B3" s="1600"/>
      <c r="C3" s="1600"/>
    </row>
    <row r="4" spans="1:3" ht="13.5" thickBot="1">
      <c r="A4" s="1067"/>
      <c r="B4" s="1067"/>
      <c r="C4" s="1070"/>
    </row>
    <row r="5" spans="1:3" ht="15" thickBot="1">
      <c r="A5" s="1071" t="s">
        <v>263</v>
      </c>
      <c r="B5" s="1072" t="s">
        <v>4</v>
      </c>
      <c r="C5" s="1073" t="s">
        <v>633</v>
      </c>
    </row>
    <row r="6" spans="1:3" ht="25.5">
      <c r="A6" s="1074" t="s">
        <v>29</v>
      </c>
      <c r="B6" s="1075" t="s">
        <v>634</v>
      </c>
      <c r="C6" s="1076">
        <f>C7+C8+C9+C10</f>
        <v>139271530</v>
      </c>
    </row>
    <row r="7" spans="1:3" ht="12.75">
      <c r="A7" s="1077" t="s">
        <v>30</v>
      </c>
      <c r="B7" s="1078" t="s">
        <v>635</v>
      </c>
      <c r="C7" s="1079">
        <v>109223604</v>
      </c>
    </row>
    <row r="8" spans="1:3" ht="12.75">
      <c r="A8" s="1077" t="s">
        <v>10</v>
      </c>
      <c r="B8" s="1078" t="s">
        <v>636</v>
      </c>
      <c r="C8" s="1079">
        <v>0</v>
      </c>
    </row>
    <row r="9" spans="1:3" ht="12.75">
      <c r="A9" s="1077" t="s">
        <v>11</v>
      </c>
      <c r="B9" s="1078" t="s">
        <v>637</v>
      </c>
      <c r="C9" s="1079">
        <v>0</v>
      </c>
    </row>
    <row r="10" spans="1:3" ht="13.5" thickBot="1">
      <c r="A10" s="1080" t="s">
        <v>12</v>
      </c>
      <c r="B10" s="1078" t="s">
        <v>638</v>
      </c>
      <c r="C10" s="1081">
        <v>30047926</v>
      </c>
    </row>
    <row r="11" spans="1:3" ht="25.5">
      <c r="A11" s="1082" t="s">
        <v>13</v>
      </c>
      <c r="B11" s="1083" t="s">
        <v>639</v>
      </c>
      <c r="C11" s="1084">
        <f>C12+C13+C14+C15</f>
        <v>117260814</v>
      </c>
    </row>
    <row r="12" spans="1:3" ht="12.75">
      <c r="A12" s="1077" t="s">
        <v>14</v>
      </c>
      <c r="B12" s="1078" t="s">
        <v>635</v>
      </c>
      <c r="C12" s="1079">
        <v>116004558</v>
      </c>
    </row>
    <row r="13" spans="1:3" ht="12.75">
      <c r="A13" s="1085" t="s">
        <v>61</v>
      </c>
      <c r="B13" s="1078" t="s">
        <v>636</v>
      </c>
      <c r="C13" s="1081">
        <v>0</v>
      </c>
    </row>
    <row r="14" spans="1:3" ht="12.75">
      <c r="A14" s="1085" t="s">
        <v>62</v>
      </c>
      <c r="B14" s="1078" t="s">
        <v>637</v>
      </c>
      <c r="C14" s="1081">
        <v>0</v>
      </c>
    </row>
    <row r="15" spans="1:3" ht="13.5" thickBot="1">
      <c r="A15" s="1086" t="s">
        <v>436</v>
      </c>
      <c r="B15" s="1087" t="s">
        <v>638</v>
      </c>
      <c r="C15" s="1088">
        <v>1256256</v>
      </c>
    </row>
  </sheetData>
  <sheetProtection/>
  <mergeCells count="2">
    <mergeCell ref="B1:C1"/>
    <mergeCell ref="A3:C3"/>
  </mergeCells>
  <conditionalFormatting sqref="C11">
    <cfRule type="cellIs" priority="1" dxfId="1" operator="notEqual" stopIfTrue="1">
      <formula>SUM(C12:C15)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34" customWidth="1"/>
    <col min="2" max="2" width="8.28125" style="328" customWidth="1"/>
    <col min="3" max="3" width="52.00390625" style="328" customWidth="1"/>
    <col min="4" max="6" width="8.28125" style="328" bestFit="1" customWidth="1"/>
    <col min="7" max="7" width="7.421875" style="328" bestFit="1" customWidth="1"/>
    <col min="8" max="8" width="8.421875" style="328" bestFit="1" customWidth="1"/>
    <col min="9" max="9" width="8.8515625" style="328" hidden="1" customWidth="1"/>
    <col min="10" max="12" width="8.28125" style="328" bestFit="1" customWidth="1"/>
    <col min="13" max="13" width="7.421875" style="328" bestFit="1" customWidth="1"/>
    <col min="14" max="14" width="8.421875" style="328" bestFit="1" customWidth="1"/>
    <col min="15" max="15" width="8.8515625" style="328" hidden="1" customWidth="1"/>
    <col min="16" max="16" width="12.421875" style="328" bestFit="1" customWidth="1"/>
    <col min="17" max="17" width="4.57421875" style="328" hidden="1" customWidth="1"/>
    <col min="18" max="18" width="0" style="328" hidden="1" customWidth="1"/>
    <col min="19" max="19" width="10.00390625" style="328" hidden="1" customWidth="1"/>
    <col min="20" max="20" width="0" style="328" hidden="1" customWidth="1"/>
    <col min="21" max="16384" width="9.140625" style="328" customWidth="1"/>
  </cols>
  <sheetData>
    <row r="1" spans="1:16" s="150" customFormat="1" ht="21" customHeight="1" hidden="1">
      <c r="A1" s="146"/>
      <c r="B1" s="147"/>
      <c r="C1" s="148"/>
      <c r="D1" s="149"/>
      <c r="E1" s="149"/>
      <c r="F1" s="149"/>
      <c r="G1" s="149"/>
      <c r="H1" s="149"/>
      <c r="I1" s="149"/>
      <c r="J1" s="1375"/>
      <c r="K1" s="1375"/>
      <c r="L1" s="1375"/>
      <c r="M1" s="1375"/>
      <c r="N1" s="1375"/>
      <c r="O1" s="1375"/>
      <c r="P1" s="1375"/>
    </row>
    <row r="2" spans="1:16" s="153" customFormat="1" ht="25.5" customHeight="1" hidden="1" thickBot="1">
      <c r="A2" s="1378"/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</row>
    <row r="3" spans="1:20" s="156" customFormat="1" ht="40.5" customHeight="1" hidden="1" thickBot="1">
      <c r="A3" s="154"/>
      <c r="B3" s="154"/>
      <c r="C3" s="154"/>
      <c r="D3" s="1385" t="s">
        <v>5</v>
      </c>
      <c r="E3" s="1386"/>
      <c r="F3" s="1386"/>
      <c r="G3" s="1386"/>
      <c r="H3" s="1386"/>
      <c r="I3" s="1387"/>
      <c r="J3" s="1385" t="s">
        <v>109</v>
      </c>
      <c r="K3" s="1386"/>
      <c r="L3" s="1386"/>
      <c r="M3" s="1386"/>
      <c r="N3" s="1386"/>
      <c r="O3" s="1387"/>
      <c r="P3" s="1601" t="s">
        <v>157</v>
      </c>
      <c r="Q3" s="1602"/>
      <c r="R3" s="1602"/>
      <c r="S3" s="1603"/>
      <c r="T3" s="523"/>
    </row>
    <row r="4" spans="1:19" ht="24.75" hidden="1" thickBot="1">
      <c r="A4" s="1376" t="s">
        <v>111</v>
      </c>
      <c r="B4" s="1377"/>
      <c r="C4" s="507" t="s">
        <v>112</v>
      </c>
      <c r="D4" s="500" t="s">
        <v>69</v>
      </c>
      <c r="E4" s="157" t="s">
        <v>237</v>
      </c>
      <c r="F4" s="157" t="s">
        <v>240</v>
      </c>
      <c r="G4" s="157" t="s">
        <v>243</v>
      </c>
      <c r="H4" s="157" t="s">
        <v>259</v>
      </c>
      <c r="I4" s="471" t="s">
        <v>247</v>
      </c>
      <c r="J4" s="500" t="s">
        <v>69</v>
      </c>
      <c r="K4" s="157" t="s">
        <v>237</v>
      </c>
      <c r="L4" s="157" t="s">
        <v>240</v>
      </c>
      <c r="M4" s="157" t="s">
        <v>243</v>
      </c>
      <c r="N4" s="157" t="s">
        <v>259</v>
      </c>
      <c r="O4" s="471" t="s">
        <v>247</v>
      </c>
      <c r="P4" s="500" t="s">
        <v>260</v>
      </c>
      <c r="Q4" s="157" t="s">
        <v>256</v>
      </c>
      <c r="R4" s="157" t="s">
        <v>240</v>
      </c>
      <c r="S4" s="471" t="s">
        <v>240</v>
      </c>
    </row>
    <row r="5" spans="1:19" s="162" customFormat="1" ht="12.75" customHeight="1" hidden="1" thickBot="1">
      <c r="A5" s="159">
        <v>1</v>
      </c>
      <c r="B5" s="160">
        <v>2</v>
      </c>
      <c r="C5" s="314">
        <v>3</v>
      </c>
      <c r="D5" s="159"/>
      <c r="E5" s="160"/>
      <c r="F5" s="160"/>
      <c r="G5" s="160"/>
      <c r="H5" s="160"/>
      <c r="I5" s="161"/>
      <c r="J5" s="159"/>
      <c r="K5" s="160"/>
      <c r="L5" s="160"/>
      <c r="M5" s="160"/>
      <c r="N5" s="160"/>
      <c r="O5" s="161"/>
      <c r="P5" s="159"/>
      <c r="Q5" s="160"/>
      <c r="R5" s="160"/>
      <c r="S5" s="161"/>
    </row>
    <row r="6" spans="1:19" s="162" customFormat="1" ht="15.75" customHeight="1" hidden="1" thickBot="1">
      <c r="A6" s="163"/>
      <c r="B6" s="164"/>
      <c r="C6" s="164" t="s">
        <v>113</v>
      </c>
      <c r="D6" s="477"/>
      <c r="E6" s="227"/>
      <c r="F6" s="227"/>
      <c r="G6" s="227"/>
      <c r="H6" s="227"/>
      <c r="I6" s="292"/>
      <c r="J6" s="477"/>
      <c r="K6" s="227"/>
      <c r="L6" s="227"/>
      <c r="M6" s="227"/>
      <c r="N6" s="227"/>
      <c r="O6" s="292"/>
      <c r="P6" s="477"/>
      <c r="Q6" s="227"/>
      <c r="R6" s="227"/>
      <c r="S6" s="292"/>
    </row>
    <row r="7" spans="1:19" s="168" customFormat="1" ht="12" customHeight="1" hidden="1" thickBot="1">
      <c r="A7" s="159" t="s">
        <v>29</v>
      </c>
      <c r="B7" s="165"/>
      <c r="C7" s="508" t="s">
        <v>114</v>
      </c>
      <c r="D7" s="478"/>
      <c r="E7" s="228"/>
      <c r="F7" s="228"/>
      <c r="G7" s="228"/>
      <c r="H7" s="532"/>
      <c r="I7" s="406"/>
      <c r="J7" s="478"/>
      <c r="K7" s="228"/>
      <c r="L7" s="228"/>
      <c r="M7" s="228"/>
      <c r="N7" s="532"/>
      <c r="O7" s="406"/>
      <c r="P7" s="478"/>
      <c r="Q7" s="228"/>
      <c r="R7" s="228"/>
      <c r="S7" s="167"/>
    </row>
    <row r="8" spans="1:19" s="168" customFormat="1" ht="12" customHeight="1" hidden="1" thickBot="1">
      <c r="A8" s="159" t="s">
        <v>10</v>
      </c>
      <c r="B8" s="165"/>
      <c r="C8" s="508" t="s">
        <v>120</v>
      </c>
      <c r="D8" s="478">
        <f aca="true" t="shared" si="0" ref="D8:M8">SUM(D9:D12)</f>
        <v>0</v>
      </c>
      <c r="E8" s="228">
        <f t="shared" si="0"/>
        <v>0</v>
      </c>
      <c r="F8" s="228">
        <f t="shared" si="0"/>
        <v>0</v>
      </c>
      <c r="G8" s="228">
        <f>SUM(G9:G12)</f>
        <v>0</v>
      </c>
      <c r="H8" s="532">
        <f>SUM(H9:H12)</f>
        <v>0</v>
      </c>
      <c r="I8" s="406"/>
      <c r="J8" s="478">
        <f t="shared" si="0"/>
        <v>0</v>
      </c>
      <c r="K8" s="228">
        <f t="shared" si="0"/>
        <v>0</v>
      </c>
      <c r="L8" s="228">
        <f t="shared" si="0"/>
        <v>0</v>
      </c>
      <c r="M8" s="228">
        <f t="shared" si="0"/>
        <v>0</v>
      </c>
      <c r="N8" s="532" t="s">
        <v>261</v>
      </c>
      <c r="O8" s="406"/>
      <c r="P8" s="478"/>
      <c r="Q8" s="228"/>
      <c r="R8" s="228"/>
      <c r="S8" s="167"/>
    </row>
    <row r="9" spans="1:19" s="174" customFormat="1" ht="12" customHeight="1" hidden="1">
      <c r="A9" s="171"/>
      <c r="B9" s="170" t="s">
        <v>121</v>
      </c>
      <c r="C9" s="490" t="s">
        <v>76</v>
      </c>
      <c r="D9" s="480"/>
      <c r="E9" s="229"/>
      <c r="F9" s="229"/>
      <c r="G9" s="229"/>
      <c r="H9" s="533"/>
      <c r="I9" s="499"/>
      <c r="J9" s="480"/>
      <c r="K9" s="229"/>
      <c r="L9" s="229"/>
      <c r="M9" s="229"/>
      <c r="N9" s="533"/>
      <c r="O9" s="499"/>
      <c r="P9" s="480"/>
      <c r="Q9" s="229"/>
      <c r="R9" s="229"/>
      <c r="S9" s="173"/>
    </row>
    <row r="10" spans="1:19" s="174" customFormat="1" ht="12" customHeight="1" hidden="1">
      <c r="A10" s="171"/>
      <c r="B10" s="170" t="s">
        <v>122</v>
      </c>
      <c r="C10" s="491" t="s">
        <v>123</v>
      </c>
      <c r="D10" s="480"/>
      <c r="E10" s="229"/>
      <c r="F10" s="229"/>
      <c r="G10" s="229"/>
      <c r="H10" s="533"/>
      <c r="I10" s="518"/>
      <c r="J10" s="480"/>
      <c r="K10" s="229"/>
      <c r="L10" s="229"/>
      <c r="M10" s="229"/>
      <c r="N10" s="533"/>
      <c r="O10" s="518"/>
      <c r="P10" s="480"/>
      <c r="Q10" s="229"/>
      <c r="R10" s="229"/>
      <c r="S10" s="173"/>
    </row>
    <row r="11" spans="1:19" s="174" customFormat="1" ht="12" customHeight="1" hidden="1">
      <c r="A11" s="171"/>
      <c r="B11" s="170" t="s">
        <v>124</v>
      </c>
      <c r="C11" s="491" t="s">
        <v>77</v>
      </c>
      <c r="D11" s="480"/>
      <c r="E11" s="229"/>
      <c r="F11" s="229"/>
      <c r="G11" s="229"/>
      <c r="H11" s="533"/>
      <c r="I11" s="518"/>
      <c r="J11" s="480"/>
      <c r="K11" s="229"/>
      <c r="L11" s="229"/>
      <c r="M11" s="229"/>
      <c r="N11" s="533"/>
      <c r="O11" s="518"/>
      <c r="P11" s="480"/>
      <c r="Q11" s="229"/>
      <c r="R11" s="229"/>
      <c r="S11" s="173"/>
    </row>
    <row r="12" spans="1:19" s="174" customFormat="1" ht="12" customHeight="1" hidden="1" thickBot="1">
      <c r="A12" s="171"/>
      <c r="B12" s="170" t="s">
        <v>125</v>
      </c>
      <c r="C12" s="491" t="s">
        <v>123</v>
      </c>
      <c r="D12" s="480"/>
      <c r="E12" s="229"/>
      <c r="F12" s="229"/>
      <c r="G12" s="229"/>
      <c r="H12" s="533"/>
      <c r="I12" s="524"/>
      <c r="J12" s="480"/>
      <c r="K12" s="229"/>
      <c r="L12" s="229"/>
      <c r="M12" s="229"/>
      <c r="N12" s="533"/>
      <c r="O12" s="524"/>
      <c r="P12" s="480"/>
      <c r="Q12" s="229"/>
      <c r="R12" s="229"/>
      <c r="S12" s="173"/>
    </row>
    <row r="13" spans="1:19" s="174" customFormat="1" ht="12" customHeight="1" hidden="1" thickBot="1">
      <c r="A13" s="177" t="s">
        <v>11</v>
      </c>
      <c r="B13" s="178"/>
      <c r="C13" s="489" t="s">
        <v>126</v>
      </c>
      <c r="D13" s="478">
        <f aca="true" t="shared" si="1" ref="D13:M13">SUM(D14:D15)</f>
        <v>0</v>
      </c>
      <c r="E13" s="228">
        <f t="shared" si="1"/>
        <v>0</v>
      </c>
      <c r="F13" s="228">
        <f t="shared" si="1"/>
        <v>0</v>
      </c>
      <c r="G13" s="228">
        <f>SUM(G14:G15)</f>
        <v>0</v>
      </c>
      <c r="H13" s="532"/>
      <c r="I13" s="406"/>
      <c r="J13" s="478">
        <f t="shared" si="1"/>
        <v>0</v>
      </c>
      <c r="K13" s="228">
        <f t="shared" si="1"/>
        <v>0</v>
      </c>
      <c r="L13" s="228">
        <f t="shared" si="1"/>
        <v>0</v>
      </c>
      <c r="M13" s="228">
        <f t="shared" si="1"/>
        <v>0</v>
      </c>
      <c r="N13" s="532"/>
      <c r="O13" s="406"/>
      <c r="P13" s="478"/>
      <c r="Q13" s="228"/>
      <c r="R13" s="228"/>
      <c r="S13" s="167"/>
    </row>
    <row r="14" spans="1:19" s="168" customFormat="1" ht="12" customHeight="1" hidden="1">
      <c r="A14" s="179"/>
      <c r="B14" s="180" t="s">
        <v>127</v>
      </c>
      <c r="C14" s="509" t="s">
        <v>128</v>
      </c>
      <c r="D14" s="481"/>
      <c r="E14" s="230"/>
      <c r="F14" s="230"/>
      <c r="G14" s="230"/>
      <c r="H14" s="534"/>
      <c r="I14" s="499"/>
      <c r="J14" s="481"/>
      <c r="K14" s="230"/>
      <c r="L14" s="230"/>
      <c r="M14" s="230"/>
      <c r="N14" s="534"/>
      <c r="O14" s="499"/>
      <c r="P14" s="481"/>
      <c r="Q14" s="230"/>
      <c r="R14" s="230"/>
      <c r="S14" s="182"/>
    </row>
    <row r="15" spans="1:19" s="168" customFormat="1" ht="12" customHeight="1" hidden="1" thickBot="1">
      <c r="A15" s="183"/>
      <c r="B15" s="184" t="s">
        <v>129</v>
      </c>
      <c r="C15" s="510" t="s">
        <v>130</v>
      </c>
      <c r="D15" s="482"/>
      <c r="E15" s="231"/>
      <c r="F15" s="231"/>
      <c r="G15" s="231"/>
      <c r="H15" s="535"/>
      <c r="I15" s="524"/>
      <c r="J15" s="482"/>
      <c r="K15" s="231"/>
      <c r="L15" s="231"/>
      <c r="M15" s="231"/>
      <c r="N15" s="535"/>
      <c r="O15" s="524"/>
      <c r="P15" s="482"/>
      <c r="Q15" s="231"/>
      <c r="R15" s="231"/>
      <c r="S15" s="186"/>
    </row>
    <row r="16" spans="1:19" s="168" customFormat="1" ht="12" customHeight="1" hidden="1" thickBot="1">
      <c r="A16" s="177" t="s">
        <v>12</v>
      </c>
      <c r="B16" s="165"/>
      <c r="C16" s="489" t="s">
        <v>131</v>
      </c>
      <c r="D16" s="483"/>
      <c r="E16" s="232"/>
      <c r="F16" s="232"/>
      <c r="G16" s="232"/>
      <c r="H16" s="536"/>
      <c r="I16" s="406"/>
      <c r="J16" s="483"/>
      <c r="K16" s="232"/>
      <c r="L16" s="232"/>
      <c r="M16" s="232"/>
      <c r="N16" s="536" t="s">
        <v>261</v>
      </c>
      <c r="O16" s="406"/>
      <c r="P16" s="483"/>
      <c r="Q16" s="232"/>
      <c r="R16" s="232"/>
      <c r="S16" s="187"/>
    </row>
    <row r="17" spans="1:19" s="168" customFormat="1" ht="12" customHeight="1" hidden="1" thickBot="1">
      <c r="A17" s="159" t="s">
        <v>13</v>
      </c>
      <c r="B17" s="188"/>
      <c r="C17" s="489" t="s">
        <v>132</v>
      </c>
      <c r="D17" s="478">
        <f aca="true" t="shared" si="2" ref="D17:M17">D7+D8+D13+D16</f>
        <v>0</v>
      </c>
      <c r="E17" s="228">
        <f t="shared" si="2"/>
        <v>0</v>
      </c>
      <c r="F17" s="228">
        <f t="shared" si="2"/>
        <v>0</v>
      </c>
      <c r="G17" s="228">
        <f t="shared" si="2"/>
        <v>0</v>
      </c>
      <c r="H17" s="532" t="s">
        <v>261</v>
      </c>
      <c r="I17" s="406"/>
      <c r="J17" s="478">
        <f t="shared" si="2"/>
        <v>0</v>
      </c>
      <c r="K17" s="228">
        <f t="shared" si="2"/>
        <v>0</v>
      </c>
      <c r="L17" s="228">
        <f t="shared" si="2"/>
        <v>0</v>
      </c>
      <c r="M17" s="228">
        <f t="shared" si="2"/>
        <v>0</v>
      </c>
      <c r="N17" s="532" t="s">
        <v>261</v>
      </c>
      <c r="O17" s="406"/>
      <c r="P17" s="478"/>
      <c r="Q17" s="228"/>
      <c r="R17" s="228"/>
      <c r="S17" s="167"/>
    </row>
    <row r="18" spans="1:19" s="174" customFormat="1" ht="12" customHeight="1" hidden="1" thickBot="1">
      <c r="A18" s="189" t="s">
        <v>14</v>
      </c>
      <c r="B18" s="190"/>
      <c r="C18" s="511" t="s">
        <v>133</v>
      </c>
      <c r="D18" s="484">
        <f aca="true" t="shared" si="3" ref="D18:M18">SUM(D19:D20)</f>
        <v>0</v>
      </c>
      <c r="E18" s="233">
        <f t="shared" si="3"/>
        <v>0</v>
      </c>
      <c r="F18" s="233">
        <f t="shared" si="3"/>
        <v>0</v>
      </c>
      <c r="G18" s="233">
        <f>SUM(G19:G20)</f>
        <v>0</v>
      </c>
      <c r="H18" s="537" t="s">
        <v>261</v>
      </c>
      <c r="I18" s="406"/>
      <c r="J18" s="484">
        <f t="shared" si="3"/>
        <v>0</v>
      </c>
      <c r="K18" s="233">
        <f t="shared" si="3"/>
        <v>0</v>
      </c>
      <c r="L18" s="233">
        <f t="shared" si="3"/>
        <v>0</v>
      </c>
      <c r="M18" s="233">
        <f t="shared" si="3"/>
        <v>0</v>
      </c>
      <c r="N18" s="537" t="s">
        <v>261</v>
      </c>
      <c r="O18" s="406"/>
      <c r="P18" s="478"/>
      <c r="Q18" s="228"/>
      <c r="R18" s="228"/>
      <c r="S18" s="167"/>
    </row>
    <row r="19" spans="1:19" s="174" customFormat="1" ht="15" customHeight="1" hidden="1">
      <c r="A19" s="169"/>
      <c r="B19" s="192" t="s">
        <v>134</v>
      </c>
      <c r="C19" s="509" t="s">
        <v>135</v>
      </c>
      <c r="D19" s="481"/>
      <c r="E19" s="230"/>
      <c r="F19" s="230"/>
      <c r="G19" s="230"/>
      <c r="H19" s="534"/>
      <c r="I19" s="499"/>
      <c r="J19" s="481"/>
      <c r="K19" s="230"/>
      <c r="L19" s="230"/>
      <c r="M19" s="230"/>
      <c r="N19" s="534" t="s">
        <v>261</v>
      </c>
      <c r="O19" s="499"/>
      <c r="P19" s="487"/>
      <c r="Q19" s="488"/>
      <c r="R19" s="488"/>
      <c r="S19" s="289"/>
    </row>
    <row r="20" spans="1:19" s="174" customFormat="1" ht="15" customHeight="1" hidden="1" thickBot="1">
      <c r="A20" s="193"/>
      <c r="B20" s="194" t="s">
        <v>136</v>
      </c>
      <c r="C20" s="512" t="s">
        <v>137</v>
      </c>
      <c r="D20" s="485"/>
      <c r="E20" s="234"/>
      <c r="F20" s="234"/>
      <c r="G20" s="234"/>
      <c r="H20" s="538"/>
      <c r="I20" s="524"/>
      <c r="J20" s="485"/>
      <c r="K20" s="234"/>
      <c r="L20" s="234"/>
      <c r="M20" s="234"/>
      <c r="N20" s="538"/>
      <c r="O20" s="524"/>
      <c r="P20" s="485"/>
      <c r="Q20" s="234"/>
      <c r="R20" s="234"/>
      <c r="S20" s="196"/>
    </row>
    <row r="21" spans="1:19" ht="13.5" hidden="1" thickBot="1">
      <c r="A21" s="197" t="s">
        <v>61</v>
      </c>
      <c r="B21" s="329"/>
      <c r="C21" s="493" t="s">
        <v>138</v>
      </c>
      <c r="D21" s="483"/>
      <c r="E21" s="232"/>
      <c r="F21" s="232"/>
      <c r="G21" s="232"/>
      <c r="H21" s="536"/>
      <c r="I21" s="406"/>
      <c r="J21" s="483"/>
      <c r="K21" s="232"/>
      <c r="L21" s="232"/>
      <c r="M21" s="232"/>
      <c r="N21" s="536"/>
      <c r="O21" s="406"/>
      <c r="P21" s="483"/>
      <c r="Q21" s="232"/>
      <c r="R21" s="232"/>
      <c r="S21" s="187"/>
    </row>
    <row r="22" spans="1:19" s="162" customFormat="1" ht="16.5" customHeight="1" hidden="1" thickBot="1">
      <c r="A22" s="197" t="s">
        <v>62</v>
      </c>
      <c r="B22" s="330"/>
      <c r="C22" s="513" t="s">
        <v>139</v>
      </c>
      <c r="D22" s="486">
        <f aca="true" t="shared" si="4" ref="D22:M22">D17+D21+D18</f>
        <v>0</v>
      </c>
      <c r="E22" s="235">
        <f t="shared" si="4"/>
        <v>0</v>
      </c>
      <c r="F22" s="235">
        <f t="shared" si="4"/>
        <v>0</v>
      </c>
      <c r="G22" s="235">
        <f t="shared" si="4"/>
        <v>0</v>
      </c>
      <c r="H22" s="539" t="s">
        <v>261</v>
      </c>
      <c r="I22" s="406"/>
      <c r="J22" s="486">
        <f t="shared" si="4"/>
        <v>0</v>
      </c>
      <c r="K22" s="235">
        <f t="shared" si="4"/>
        <v>0</v>
      </c>
      <c r="L22" s="235">
        <f t="shared" si="4"/>
        <v>0</v>
      </c>
      <c r="M22" s="235">
        <f t="shared" si="4"/>
        <v>0</v>
      </c>
      <c r="N22" s="539" t="s">
        <v>261</v>
      </c>
      <c r="O22" s="406"/>
      <c r="P22" s="486"/>
      <c r="Q22" s="235"/>
      <c r="R22" s="235"/>
      <c r="S22" s="220"/>
    </row>
    <row r="23" spans="1:19" s="206" customFormat="1" ht="12" customHeight="1" hidden="1">
      <c r="A23" s="203"/>
      <c r="B23" s="203"/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</row>
    <row r="24" spans="1:18" ht="12" customHeight="1" hidden="1" thickBot="1">
      <c r="A24" s="207"/>
      <c r="B24" s="208"/>
      <c r="C24" s="208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9" ht="12" customHeight="1" hidden="1" thickBot="1">
      <c r="A25" s="210"/>
      <c r="B25" s="211"/>
      <c r="C25" s="212" t="s">
        <v>140</v>
      </c>
      <c r="D25" s="226"/>
      <c r="E25" s="226"/>
      <c r="F25" s="226"/>
      <c r="G25" s="226"/>
      <c r="H25" s="226"/>
      <c r="I25" s="226"/>
      <c r="J25" s="235"/>
      <c r="K25" s="235"/>
      <c r="L25" s="226"/>
      <c r="M25" s="226"/>
      <c r="N25" s="226"/>
      <c r="O25" s="226"/>
      <c r="P25" s="202"/>
      <c r="Q25" s="202"/>
      <c r="R25" s="202"/>
      <c r="S25" s="202"/>
    </row>
    <row r="26" spans="1:19" ht="12" customHeight="1" hidden="1" thickBot="1">
      <c r="A26" s="177" t="s">
        <v>29</v>
      </c>
      <c r="B26" s="213"/>
      <c r="C26" s="489" t="s">
        <v>141</v>
      </c>
      <c r="D26" s="478">
        <f aca="true" t="shared" si="5" ref="D26:M26">SUM(D27:D31)</f>
        <v>0</v>
      </c>
      <c r="E26" s="228">
        <f t="shared" si="5"/>
        <v>0</v>
      </c>
      <c r="F26" s="228">
        <f t="shared" si="5"/>
        <v>0</v>
      </c>
      <c r="G26" s="228">
        <f>SUM(G27:G31)</f>
        <v>0</v>
      </c>
      <c r="H26" s="540" t="s">
        <v>261</v>
      </c>
      <c r="I26" s="474"/>
      <c r="J26" s="478">
        <f t="shared" si="5"/>
        <v>0</v>
      </c>
      <c r="K26" s="228">
        <f t="shared" si="5"/>
        <v>0</v>
      </c>
      <c r="L26" s="228">
        <f t="shared" si="5"/>
        <v>0</v>
      </c>
      <c r="M26" s="228">
        <f t="shared" si="5"/>
        <v>0</v>
      </c>
      <c r="N26" s="540" t="s">
        <v>261</v>
      </c>
      <c r="O26" s="474"/>
      <c r="P26" s="525"/>
      <c r="Q26" s="472"/>
      <c r="R26" s="167"/>
      <c r="S26" s="167"/>
    </row>
    <row r="27" spans="1:19" ht="12" customHeight="1" hidden="1">
      <c r="A27" s="214"/>
      <c r="B27" s="215" t="s">
        <v>115</v>
      </c>
      <c r="C27" s="490" t="s">
        <v>142</v>
      </c>
      <c r="D27" s="496"/>
      <c r="E27" s="236"/>
      <c r="F27" s="236"/>
      <c r="G27" s="236"/>
      <c r="H27" s="541"/>
      <c r="I27" s="475"/>
      <c r="J27" s="496"/>
      <c r="K27" s="236"/>
      <c r="L27" s="236"/>
      <c r="M27" s="236"/>
      <c r="N27" s="541"/>
      <c r="O27" s="475"/>
      <c r="P27" s="526"/>
      <c r="Q27" s="501"/>
      <c r="R27" s="173"/>
      <c r="S27" s="173"/>
    </row>
    <row r="28" spans="1:19" ht="12" customHeight="1" hidden="1">
      <c r="A28" s="216"/>
      <c r="B28" s="217" t="s">
        <v>116</v>
      </c>
      <c r="C28" s="491" t="s">
        <v>53</v>
      </c>
      <c r="D28" s="497"/>
      <c r="E28" s="237"/>
      <c r="F28" s="237"/>
      <c r="G28" s="237"/>
      <c r="H28" s="542"/>
      <c r="I28" s="514"/>
      <c r="J28" s="497"/>
      <c r="K28" s="237"/>
      <c r="L28" s="237"/>
      <c r="M28" s="237"/>
      <c r="N28" s="542"/>
      <c r="O28" s="514"/>
      <c r="P28" s="526"/>
      <c r="Q28" s="501"/>
      <c r="R28" s="173"/>
      <c r="S28" s="173"/>
    </row>
    <row r="29" spans="1:19" ht="12" customHeight="1" hidden="1">
      <c r="A29" s="216"/>
      <c r="B29" s="217" t="s">
        <v>117</v>
      </c>
      <c r="C29" s="491" t="s">
        <v>143</v>
      </c>
      <c r="D29" s="497"/>
      <c r="E29" s="237"/>
      <c r="F29" s="237"/>
      <c r="G29" s="237"/>
      <c r="H29" s="542"/>
      <c r="I29" s="514"/>
      <c r="J29" s="497"/>
      <c r="K29" s="237"/>
      <c r="L29" s="237"/>
      <c r="M29" s="237"/>
      <c r="N29" s="542"/>
      <c r="O29" s="514"/>
      <c r="P29" s="526"/>
      <c r="Q29" s="501"/>
      <c r="R29" s="173"/>
      <c r="S29" s="173"/>
    </row>
    <row r="30" spans="1:19" s="206" customFormat="1" ht="12" customHeight="1" hidden="1">
      <c r="A30" s="216"/>
      <c r="B30" s="217" t="s">
        <v>118</v>
      </c>
      <c r="C30" s="491" t="s">
        <v>85</v>
      </c>
      <c r="D30" s="497"/>
      <c r="E30" s="237"/>
      <c r="F30" s="237"/>
      <c r="G30" s="237"/>
      <c r="H30" s="542"/>
      <c r="I30" s="515"/>
      <c r="J30" s="497"/>
      <c r="K30" s="237"/>
      <c r="L30" s="237"/>
      <c r="M30" s="237"/>
      <c r="N30" s="542"/>
      <c r="O30" s="515"/>
      <c r="P30" s="526"/>
      <c r="Q30" s="501"/>
      <c r="R30" s="173"/>
      <c r="S30" s="173"/>
    </row>
    <row r="31" spans="1:19" ht="12" customHeight="1" hidden="1" thickBot="1">
      <c r="A31" s="216"/>
      <c r="B31" s="217" t="s">
        <v>52</v>
      </c>
      <c r="C31" s="491" t="s">
        <v>87</v>
      </c>
      <c r="D31" s="497"/>
      <c r="E31" s="237"/>
      <c r="F31" s="237"/>
      <c r="G31" s="237"/>
      <c r="H31" s="542"/>
      <c r="I31" s="516"/>
      <c r="J31" s="497"/>
      <c r="K31" s="237"/>
      <c r="L31" s="237"/>
      <c r="M31" s="237"/>
      <c r="N31" s="542"/>
      <c r="O31" s="516"/>
      <c r="P31" s="527"/>
      <c r="Q31" s="502"/>
      <c r="R31" s="218"/>
      <c r="S31" s="218"/>
    </row>
    <row r="32" spans="1:19" ht="12" customHeight="1" hidden="1" thickBot="1">
      <c r="A32" s="177" t="s">
        <v>30</v>
      </c>
      <c r="B32" s="213"/>
      <c r="C32" s="489" t="s">
        <v>144</v>
      </c>
      <c r="D32" s="478">
        <f>SUM(D33:D36)</f>
        <v>0</v>
      </c>
      <c r="E32" s="228">
        <f>SUM(E33:E36)</f>
        <v>0</v>
      </c>
      <c r="F32" s="228">
        <f>SUM(F33:F36)</f>
        <v>0</v>
      </c>
      <c r="G32" s="228">
        <f>SUM(G33:G36)</f>
        <v>0</v>
      </c>
      <c r="H32" s="540"/>
      <c r="I32" s="476"/>
      <c r="J32" s="478"/>
      <c r="K32" s="228"/>
      <c r="L32" s="228">
        <f>SUM(L33:L36)</f>
        <v>0</v>
      </c>
      <c r="M32" s="228">
        <f>SUM(M33:M36)</f>
        <v>0</v>
      </c>
      <c r="N32" s="540"/>
      <c r="O32" s="476"/>
      <c r="P32" s="525"/>
      <c r="Q32" s="472"/>
      <c r="R32" s="167"/>
      <c r="S32" s="167"/>
    </row>
    <row r="33" spans="1:19" ht="12" customHeight="1" hidden="1">
      <c r="A33" s="214"/>
      <c r="B33" s="215" t="s">
        <v>145</v>
      </c>
      <c r="C33" s="490" t="s">
        <v>97</v>
      </c>
      <c r="D33" s="496"/>
      <c r="E33" s="236"/>
      <c r="F33" s="236"/>
      <c r="G33" s="236"/>
      <c r="H33" s="541"/>
      <c r="I33" s="515"/>
      <c r="J33" s="496"/>
      <c r="K33" s="236"/>
      <c r="L33" s="236"/>
      <c r="M33" s="236"/>
      <c r="N33" s="541"/>
      <c r="O33" s="515"/>
      <c r="P33" s="526"/>
      <c r="Q33" s="501"/>
      <c r="R33" s="173"/>
      <c r="S33" s="173"/>
    </row>
    <row r="34" spans="1:19" ht="12" customHeight="1" hidden="1">
      <c r="A34" s="216"/>
      <c r="B34" s="217" t="s">
        <v>146</v>
      </c>
      <c r="C34" s="491" t="s">
        <v>98</v>
      </c>
      <c r="D34" s="497">
        <v>0</v>
      </c>
      <c r="E34" s="237">
        <v>0</v>
      </c>
      <c r="F34" s="237">
        <v>0</v>
      </c>
      <c r="G34" s="237">
        <v>0</v>
      </c>
      <c r="H34" s="542"/>
      <c r="I34" s="516"/>
      <c r="J34" s="497"/>
      <c r="K34" s="237"/>
      <c r="L34" s="237">
        <v>0</v>
      </c>
      <c r="M34" s="237">
        <v>0</v>
      </c>
      <c r="N34" s="542"/>
      <c r="O34" s="516"/>
      <c r="P34" s="527"/>
      <c r="Q34" s="502"/>
      <c r="R34" s="218"/>
      <c r="S34" s="218"/>
    </row>
    <row r="35" spans="1:19" ht="15" customHeight="1" hidden="1">
      <c r="A35" s="216"/>
      <c r="B35" s="217" t="s">
        <v>147</v>
      </c>
      <c r="C35" s="491" t="s">
        <v>148</v>
      </c>
      <c r="D35" s="497"/>
      <c r="E35" s="237"/>
      <c r="F35" s="237"/>
      <c r="G35" s="237"/>
      <c r="H35" s="542"/>
      <c r="I35" s="516"/>
      <c r="J35" s="497"/>
      <c r="K35" s="237"/>
      <c r="L35" s="237"/>
      <c r="M35" s="237"/>
      <c r="N35" s="542"/>
      <c r="O35" s="516"/>
      <c r="P35" s="527"/>
      <c r="Q35" s="502"/>
      <c r="R35" s="218"/>
      <c r="S35" s="218"/>
    </row>
    <row r="36" spans="1:19" ht="13.5" hidden="1" thickBot="1">
      <c r="A36" s="216"/>
      <c r="B36" s="217" t="s">
        <v>149</v>
      </c>
      <c r="C36" s="491" t="s">
        <v>150</v>
      </c>
      <c r="D36" s="497"/>
      <c r="E36" s="237"/>
      <c r="F36" s="237"/>
      <c r="G36" s="237"/>
      <c r="H36" s="542"/>
      <c r="I36" s="516"/>
      <c r="J36" s="497"/>
      <c r="K36" s="237"/>
      <c r="L36" s="237"/>
      <c r="M36" s="237"/>
      <c r="N36" s="542"/>
      <c r="O36" s="516"/>
      <c r="P36" s="527"/>
      <c r="Q36" s="502"/>
      <c r="R36" s="218"/>
      <c r="S36" s="218"/>
    </row>
    <row r="37" spans="1:19" ht="15" customHeight="1" hidden="1" thickBot="1">
      <c r="A37" s="177" t="s">
        <v>10</v>
      </c>
      <c r="B37" s="213"/>
      <c r="C37" s="492" t="s">
        <v>245</v>
      </c>
      <c r="D37" s="483"/>
      <c r="E37" s="232"/>
      <c r="F37" s="232"/>
      <c r="G37" s="232"/>
      <c r="H37" s="543" t="s">
        <v>261</v>
      </c>
      <c r="I37" s="474"/>
      <c r="J37" s="483"/>
      <c r="K37" s="232"/>
      <c r="L37" s="232"/>
      <c r="M37" s="232"/>
      <c r="N37" s="543" t="s">
        <v>261</v>
      </c>
      <c r="O37" s="474"/>
      <c r="P37" s="528"/>
      <c r="Q37" s="473"/>
      <c r="R37" s="187"/>
      <c r="S37" s="187"/>
    </row>
    <row r="38" spans="1:19" ht="14.25" customHeight="1" hidden="1" thickBot="1">
      <c r="A38" s="197" t="s">
        <v>11</v>
      </c>
      <c r="B38" s="329"/>
      <c r="C38" s="493" t="s">
        <v>152</v>
      </c>
      <c r="D38" s="483"/>
      <c r="E38" s="232"/>
      <c r="F38" s="232"/>
      <c r="G38" s="232"/>
      <c r="H38" s="543"/>
      <c r="I38" s="474"/>
      <c r="J38" s="483"/>
      <c r="K38" s="232"/>
      <c r="L38" s="232"/>
      <c r="M38" s="232"/>
      <c r="N38" s="543"/>
      <c r="O38" s="474"/>
      <c r="P38" s="528"/>
      <c r="Q38" s="473"/>
      <c r="R38" s="187"/>
      <c r="S38" s="187"/>
    </row>
    <row r="39" spans="1:19" ht="13.5" hidden="1" thickBot="1">
      <c r="A39" s="177" t="s">
        <v>12</v>
      </c>
      <c r="B39" s="219"/>
      <c r="C39" s="494" t="s">
        <v>153</v>
      </c>
      <c r="D39" s="486">
        <f aca="true" t="shared" si="6" ref="D39:M39">D26+D32+D37+D38</f>
        <v>0</v>
      </c>
      <c r="E39" s="235">
        <f t="shared" si="6"/>
        <v>0</v>
      </c>
      <c r="F39" s="235">
        <f t="shared" si="6"/>
        <v>0</v>
      </c>
      <c r="G39" s="235">
        <f t="shared" si="6"/>
        <v>0</v>
      </c>
      <c r="H39" s="544" t="s">
        <v>261</v>
      </c>
      <c r="I39" s="474"/>
      <c r="J39" s="486">
        <f t="shared" si="6"/>
        <v>0</v>
      </c>
      <c r="K39" s="235">
        <f t="shared" si="6"/>
        <v>0</v>
      </c>
      <c r="L39" s="235">
        <f t="shared" si="6"/>
        <v>0</v>
      </c>
      <c r="M39" s="235">
        <f t="shared" si="6"/>
        <v>0</v>
      </c>
      <c r="N39" s="544" t="s">
        <v>261</v>
      </c>
      <c r="O39" s="474"/>
      <c r="P39" s="529"/>
      <c r="Q39" s="202"/>
      <c r="R39" s="220"/>
      <c r="S39" s="220"/>
    </row>
    <row r="40" spans="1:19" ht="13.5" hidden="1" thickBot="1">
      <c r="A40" s="331"/>
      <c r="B40" s="332"/>
      <c r="C40" s="332"/>
      <c r="D40" s="520"/>
      <c r="E40" s="521"/>
      <c r="F40" s="521"/>
      <c r="G40" s="521"/>
      <c r="H40" s="545"/>
      <c r="I40" s="333"/>
      <c r="J40" s="520"/>
      <c r="K40" s="521"/>
      <c r="L40" s="521"/>
      <c r="M40" s="521"/>
      <c r="N40" s="545"/>
      <c r="O40" s="333"/>
      <c r="P40" s="530"/>
      <c r="Q40" s="333"/>
      <c r="R40" s="333"/>
      <c r="S40" s="333"/>
    </row>
    <row r="41" spans="1:19" ht="13.5" hidden="1" thickBot="1">
      <c r="A41" s="223" t="s">
        <v>154</v>
      </c>
      <c r="B41" s="224"/>
      <c r="C41" s="495"/>
      <c r="D41" s="506"/>
      <c r="E41" s="240"/>
      <c r="F41" s="240"/>
      <c r="G41" s="240"/>
      <c r="H41" s="546"/>
      <c r="I41" s="474"/>
      <c r="J41" s="506"/>
      <c r="K41" s="240"/>
      <c r="L41" s="240"/>
      <c r="M41" s="240"/>
      <c r="N41" s="546"/>
      <c r="O41" s="474"/>
      <c r="P41" s="531"/>
      <c r="Q41" s="239"/>
      <c r="R41" s="239"/>
      <c r="S41" s="239"/>
    </row>
    <row r="42" spans="1:19" ht="13.5" hidden="1" thickBot="1">
      <c r="A42" s="223" t="s">
        <v>155</v>
      </c>
      <c r="B42" s="224"/>
      <c r="C42" s="495"/>
      <c r="D42" s="506"/>
      <c r="E42" s="240"/>
      <c r="F42" s="240"/>
      <c r="G42" s="240"/>
      <c r="H42" s="546"/>
      <c r="I42" s="474"/>
      <c r="J42" s="506"/>
      <c r="K42" s="240"/>
      <c r="L42" s="240"/>
      <c r="M42" s="240"/>
      <c r="N42" s="546"/>
      <c r="O42" s="474"/>
      <c r="P42" s="531"/>
      <c r="Q42" s="239"/>
      <c r="R42" s="239"/>
      <c r="S42" s="239"/>
    </row>
    <row r="43" ht="12.75" hidden="1"/>
    <row r="44" spans="1:9" ht="12.75" hidden="1">
      <c r="A44" s="1379" t="s">
        <v>156</v>
      </c>
      <c r="B44" s="1379"/>
      <c r="C44" s="1379"/>
      <c r="D44" s="1379"/>
      <c r="E44" s="313"/>
      <c r="F44" s="313"/>
      <c r="G44" s="313"/>
      <c r="H44" s="313"/>
      <c r="I44" s="313"/>
    </row>
    <row r="45" spans="1:9" ht="12.75" hidden="1">
      <c r="A45" s="1379"/>
      <c r="B45" s="1379"/>
      <c r="C45" s="1379"/>
      <c r="E45" s="335"/>
      <c r="F45" s="335"/>
      <c r="G45" s="335"/>
      <c r="H45" s="335"/>
      <c r="I45" s="335"/>
    </row>
    <row r="46" spans="4:9" ht="12.75" hidden="1">
      <c r="D46" s="335">
        <v>0</v>
      </c>
      <c r="E46" s="335"/>
      <c r="F46" s="335"/>
      <c r="G46" s="335"/>
      <c r="H46" s="335"/>
      <c r="I46" s="335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1"/>
  <sheetViews>
    <sheetView zoomScale="75" zoomScaleNormal="75" zoomScalePageLayoutView="0" workbookViewId="0" topLeftCell="A43">
      <selection activeCell="S66" sqref="S66"/>
    </sheetView>
  </sheetViews>
  <sheetFormatPr defaultColWidth="9.140625" defaultRowHeight="12.75"/>
  <cols>
    <col min="1" max="2" width="5.7109375" style="100" customWidth="1"/>
    <col min="3" max="3" width="8.8515625" style="100" customWidth="1"/>
    <col min="4" max="4" width="56.00390625" style="20" bestFit="1" customWidth="1"/>
    <col min="5" max="5" width="22.57421875" style="336" customWidth="1"/>
    <col min="6" max="6" width="19.00390625" style="336" hidden="1" customWidth="1"/>
    <col min="7" max="7" width="17.421875" style="336" hidden="1" customWidth="1"/>
    <col min="8" max="8" width="15.57421875" style="336" hidden="1" customWidth="1"/>
    <col min="9" max="9" width="16.00390625" style="336" hidden="1" customWidth="1"/>
    <col min="10" max="11" width="16.421875" style="336" customWidth="1"/>
    <col min="12" max="12" width="13.140625" style="336" customWidth="1"/>
    <col min="13" max="13" width="22.7109375" style="337" customWidth="1"/>
    <col min="14" max="14" width="16.421875" style="337" hidden="1" customWidth="1"/>
    <col min="15" max="17" width="19.28125" style="337" hidden="1" customWidth="1"/>
    <col min="18" max="20" width="19.28125" style="337" customWidth="1"/>
    <col min="21" max="21" width="19.28125" style="338" customWidth="1"/>
    <col min="22" max="24" width="19.28125" style="337" hidden="1" customWidth="1"/>
    <col min="25" max="25" width="19.28125" style="338" hidden="1" customWidth="1"/>
    <col min="26" max="29" width="19.28125" style="338" customWidth="1"/>
    <col min="30" max="16384" width="9.140625" style="338" customWidth="1"/>
  </cols>
  <sheetData>
    <row r="1" spans="1:21" ht="12.75">
      <c r="A1" s="97"/>
      <c r="B1" s="97"/>
      <c r="C1" s="97"/>
      <c r="D1" s="98"/>
      <c r="U1" s="58" t="s">
        <v>58</v>
      </c>
    </row>
    <row r="2" spans="1:24" s="340" customFormat="1" ht="34.5" customHeight="1">
      <c r="A2" s="1324" t="s">
        <v>504</v>
      </c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  <c r="Q2" s="1324"/>
      <c r="R2" s="1324"/>
      <c r="S2" s="1324"/>
      <c r="T2" s="1324"/>
      <c r="U2" s="1324"/>
      <c r="V2" s="253"/>
      <c r="W2" s="339"/>
      <c r="X2" s="339"/>
    </row>
    <row r="3" spans="1:21" ht="13.5" thickBot="1">
      <c r="A3" s="99"/>
      <c r="B3" s="99"/>
      <c r="C3" s="99"/>
      <c r="D3" s="95"/>
      <c r="M3" s="81"/>
      <c r="N3" s="81"/>
      <c r="O3" s="81"/>
      <c r="P3" s="81"/>
      <c r="Q3" s="81"/>
      <c r="R3" s="81"/>
      <c r="S3" s="81"/>
      <c r="T3" s="81"/>
      <c r="U3" s="43" t="s">
        <v>505</v>
      </c>
    </row>
    <row r="4" spans="1:28" ht="45.75" customHeight="1" thickBot="1">
      <c r="A4" s="1325" t="s">
        <v>6</v>
      </c>
      <c r="B4" s="1326"/>
      <c r="C4" s="1326"/>
      <c r="D4" s="341" t="s">
        <v>9</v>
      </c>
      <c r="E4" s="1319" t="s">
        <v>5</v>
      </c>
      <c r="F4" s="1320"/>
      <c r="G4" s="1320"/>
      <c r="H4" s="1320"/>
      <c r="I4" s="1320"/>
      <c r="J4" s="1320"/>
      <c r="K4" s="1321"/>
      <c r="L4" s="1322"/>
      <c r="M4" s="1319" t="s">
        <v>65</v>
      </c>
      <c r="N4" s="1320"/>
      <c r="O4" s="1320"/>
      <c r="P4" s="1320"/>
      <c r="Q4" s="1320"/>
      <c r="R4" s="1320"/>
      <c r="S4" s="1321"/>
      <c r="T4" s="1322"/>
      <c r="U4" s="1319" t="s">
        <v>66</v>
      </c>
      <c r="V4" s="1320"/>
      <c r="W4" s="1320"/>
      <c r="X4" s="1320"/>
      <c r="Y4" s="1320"/>
      <c r="Z4" s="1320"/>
      <c r="AA4" s="1321"/>
      <c r="AB4" s="1322"/>
    </row>
    <row r="5" spans="1:28" ht="45.75" customHeight="1" thickBot="1">
      <c r="A5" s="319"/>
      <c r="B5" s="320"/>
      <c r="C5" s="320"/>
      <c r="D5" s="341"/>
      <c r="E5" s="375" t="s">
        <v>69</v>
      </c>
      <c r="F5" s="376" t="s">
        <v>236</v>
      </c>
      <c r="G5" s="376" t="s">
        <v>241</v>
      </c>
      <c r="H5" s="376" t="s">
        <v>244</v>
      </c>
      <c r="I5" s="376" t="s">
        <v>490</v>
      </c>
      <c r="J5" s="376" t="s">
        <v>493</v>
      </c>
      <c r="K5" s="1019" t="s">
        <v>432</v>
      </c>
      <c r="L5" s="377" t="s">
        <v>485</v>
      </c>
      <c r="M5" s="375" t="s">
        <v>69</v>
      </c>
      <c r="N5" s="376" t="s">
        <v>236</v>
      </c>
      <c r="O5" s="376" t="s">
        <v>241</v>
      </c>
      <c r="P5" s="376" t="s">
        <v>244</v>
      </c>
      <c r="Q5" s="376" t="s">
        <v>490</v>
      </c>
      <c r="R5" s="376" t="s">
        <v>496</v>
      </c>
      <c r="S5" s="1019" t="s">
        <v>432</v>
      </c>
      <c r="T5" s="377" t="s">
        <v>485</v>
      </c>
      <c r="U5" s="375" t="s">
        <v>69</v>
      </c>
      <c r="V5" s="376" t="s">
        <v>236</v>
      </c>
      <c r="W5" s="376" t="s">
        <v>241</v>
      </c>
      <c r="X5" s="376" t="s">
        <v>244</v>
      </c>
      <c r="Y5" s="376" t="s">
        <v>490</v>
      </c>
      <c r="Z5" s="376" t="s">
        <v>496</v>
      </c>
      <c r="AA5" s="1019" t="s">
        <v>432</v>
      </c>
      <c r="AB5" s="377" t="s">
        <v>485</v>
      </c>
    </row>
    <row r="6" spans="1:28" s="7" customFormat="1" ht="21.75" customHeight="1" thickBot="1">
      <c r="A6" s="110"/>
      <c r="B6" s="1300"/>
      <c r="C6" s="1300"/>
      <c r="D6" s="1300"/>
      <c r="E6" s="378"/>
      <c r="F6" s="294"/>
      <c r="G6" s="294"/>
      <c r="H6" s="294"/>
      <c r="I6" s="294"/>
      <c r="J6" s="294"/>
      <c r="K6" s="1020"/>
      <c r="L6" s="757"/>
      <c r="M6" s="378"/>
      <c r="N6" s="294"/>
      <c r="O6" s="294"/>
      <c r="P6" s="294"/>
      <c r="Q6" s="294"/>
      <c r="R6" s="294"/>
      <c r="S6" s="1020"/>
      <c r="T6" s="757"/>
      <c r="U6" s="378"/>
      <c r="V6" s="294"/>
      <c r="W6" s="294"/>
      <c r="X6" s="294"/>
      <c r="Y6" s="294"/>
      <c r="Z6" s="294"/>
      <c r="AA6" s="1020"/>
      <c r="AB6" s="757"/>
    </row>
    <row r="7" spans="1:28" s="7" customFormat="1" ht="21.75" customHeight="1" thickBot="1">
      <c r="A7" s="110" t="s">
        <v>29</v>
      </c>
      <c r="B7" s="1300" t="s">
        <v>297</v>
      </c>
      <c r="C7" s="1300"/>
      <c r="D7" s="1300"/>
      <c r="E7" s="378">
        <f aca="true" t="shared" si="0" ref="E7:J7">E8+E13+E16+E17+E20</f>
        <v>131360000</v>
      </c>
      <c r="F7" s="294">
        <f t="shared" si="0"/>
        <v>131360000</v>
      </c>
      <c r="G7" s="294">
        <f t="shared" si="0"/>
        <v>132164653</v>
      </c>
      <c r="H7" s="294">
        <f t="shared" si="0"/>
        <v>132326841</v>
      </c>
      <c r="I7" s="294">
        <f t="shared" si="0"/>
        <v>134376203</v>
      </c>
      <c r="J7" s="294">
        <f t="shared" si="0"/>
        <v>178846325</v>
      </c>
      <c r="K7" s="294">
        <f>K8+K13+K16+K17+K20</f>
        <v>170438843</v>
      </c>
      <c r="L7" s="758">
        <f>K7/J7</f>
        <v>0.9529904682134229</v>
      </c>
      <c r="M7" s="378">
        <f aca="true" t="shared" si="1" ref="M7:R7">M8+M13+M16+M17+M20</f>
        <v>110712207</v>
      </c>
      <c r="N7" s="294">
        <f t="shared" si="1"/>
        <v>110712207</v>
      </c>
      <c r="O7" s="294">
        <f t="shared" si="1"/>
        <v>111506860</v>
      </c>
      <c r="P7" s="294">
        <f t="shared" si="1"/>
        <v>111439048</v>
      </c>
      <c r="Q7" s="294">
        <f t="shared" si="1"/>
        <v>113488410</v>
      </c>
      <c r="R7" s="294">
        <f t="shared" si="1"/>
        <v>157745992</v>
      </c>
      <c r="S7" s="294">
        <f>S8+S13+S16+S17+S20</f>
        <v>149338510</v>
      </c>
      <c r="T7" s="758">
        <f>S7/R7</f>
        <v>0.9467024049650656</v>
      </c>
      <c r="U7" s="378">
        <f aca="true" t="shared" si="2" ref="U7:Z7">U8+U13+U16</f>
        <v>20647793</v>
      </c>
      <c r="V7" s="294">
        <f t="shared" si="2"/>
        <v>20647793</v>
      </c>
      <c r="W7" s="294">
        <f t="shared" si="2"/>
        <v>20657793</v>
      </c>
      <c r="X7" s="294">
        <f t="shared" si="2"/>
        <v>20887793</v>
      </c>
      <c r="Y7" s="294">
        <f t="shared" si="2"/>
        <v>20887793</v>
      </c>
      <c r="Z7" s="294">
        <f t="shared" si="2"/>
        <v>21100333</v>
      </c>
      <c r="AA7" s="294">
        <f>AA8+AA13+AA16</f>
        <v>21100333</v>
      </c>
      <c r="AB7" s="758">
        <f>AA7/Z7</f>
        <v>1</v>
      </c>
    </row>
    <row r="8" spans="1:28" ht="21.75" customHeight="1">
      <c r="A8" s="630"/>
      <c r="B8" s="255" t="s">
        <v>38</v>
      </c>
      <c r="C8" s="1323" t="s">
        <v>298</v>
      </c>
      <c r="D8" s="1323"/>
      <c r="E8" s="464">
        <f aca="true" t="shared" si="3" ref="E8:J8">SUM(E9:E12)</f>
        <v>18000000</v>
      </c>
      <c r="F8" s="465">
        <f t="shared" si="3"/>
        <v>18000000</v>
      </c>
      <c r="G8" s="465">
        <f t="shared" si="3"/>
        <v>18000000</v>
      </c>
      <c r="H8" s="465">
        <f t="shared" si="3"/>
        <v>18000000</v>
      </c>
      <c r="I8" s="465">
        <f t="shared" si="3"/>
        <v>18601694</v>
      </c>
      <c r="J8" s="465">
        <f t="shared" si="3"/>
        <v>18567953</v>
      </c>
      <c r="K8" s="465">
        <f>SUM(K9:K12)</f>
        <v>18416254</v>
      </c>
      <c r="L8" s="760">
        <f>K8/J8</f>
        <v>0.9918300633354684</v>
      </c>
      <c r="M8" s="464">
        <f aca="true" t="shared" si="4" ref="M8:R8">SUM(M9:M12)</f>
        <v>18000000</v>
      </c>
      <c r="N8" s="465">
        <f t="shared" si="4"/>
        <v>18000000</v>
      </c>
      <c r="O8" s="465">
        <f t="shared" si="4"/>
        <v>18000000</v>
      </c>
      <c r="P8" s="465">
        <f t="shared" si="4"/>
        <v>18000000</v>
      </c>
      <c r="Q8" s="465">
        <f t="shared" si="4"/>
        <v>18601694</v>
      </c>
      <c r="R8" s="465">
        <f t="shared" si="4"/>
        <v>18567953</v>
      </c>
      <c r="S8" s="465">
        <f>SUM(S9:S12)</f>
        <v>18416254</v>
      </c>
      <c r="T8" s="760">
        <f>S8/R8</f>
        <v>0.9918300633354684</v>
      </c>
      <c r="U8" s="464">
        <v>0</v>
      </c>
      <c r="V8" s="465">
        <v>0</v>
      </c>
      <c r="W8" s="465"/>
      <c r="X8" s="465"/>
      <c r="Y8" s="465"/>
      <c r="Z8" s="465"/>
      <c r="AA8" s="465"/>
      <c r="AB8" s="760"/>
    </row>
    <row r="9" spans="1:28" ht="21.75" customHeight="1">
      <c r="A9" s="107"/>
      <c r="B9" s="103"/>
      <c r="C9" s="103" t="s">
        <v>303</v>
      </c>
      <c r="D9" s="342" t="s">
        <v>299</v>
      </c>
      <c r="E9" s="380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760"/>
      <c r="M9" s="380">
        <v>0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  <c r="S9" s="296">
        <v>0</v>
      </c>
      <c r="T9" s="760"/>
      <c r="U9" s="380">
        <v>0</v>
      </c>
      <c r="V9" s="296">
        <v>0</v>
      </c>
      <c r="W9" s="296"/>
      <c r="X9" s="296"/>
      <c r="Y9" s="296"/>
      <c r="Z9" s="296"/>
      <c r="AA9" s="296"/>
      <c r="AB9" s="760"/>
    </row>
    <row r="10" spans="1:28" ht="21.75" customHeight="1">
      <c r="A10" s="107"/>
      <c r="B10" s="103"/>
      <c r="C10" s="103" t="s">
        <v>304</v>
      </c>
      <c r="D10" s="342" t="s">
        <v>283</v>
      </c>
      <c r="E10" s="380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760"/>
      <c r="M10" s="380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760"/>
      <c r="U10" s="380">
        <v>0</v>
      </c>
      <c r="V10" s="296">
        <v>0</v>
      </c>
      <c r="W10" s="296"/>
      <c r="X10" s="296"/>
      <c r="Y10" s="296"/>
      <c r="Z10" s="296"/>
      <c r="AA10" s="296"/>
      <c r="AB10" s="760"/>
    </row>
    <row r="11" spans="1:28" ht="21.75" customHeight="1">
      <c r="A11" s="107"/>
      <c r="B11" s="103"/>
      <c r="C11" s="103" t="s">
        <v>305</v>
      </c>
      <c r="D11" s="342" t="s">
        <v>282</v>
      </c>
      <c r="E11" s="380">
        <v>18000000</v>
      </c>
      <c r="F11" s="296">
        <v>18000000</v>
      </c>
      <c r="G11" s="296">
        <v>18000000</v>
      </c>
      <c r="H11" s="296">
        <v>18000000</v>
      </c>
      <c r="I11" s="296">
        <f>18000000+601694</f>
        <v>18601694</v>
      </c>
      <c r="J11" s="296">
        <v>18567953</v>
      </c>
      <c r="K11" s="296">
        <v>18416254</v>
      </c>
      <c r="L11" s="760">
        <f>K11/J11</f>
        <v>0.9918300633354684</v>
      </c>
      <c r="M11" s="380">
        <v>18000000</v>
      </c>
      <c r="N11" s="296">
        <v>18000000</v>
      </c>
      <c r="O11" s="296">
        <v>18000000</v>
      </c>
      <c r="P11" s="301">
        <f>H11</f>
        <v>18000000</v>
      </c>
      <c r="Q11" s="301">
        <f>I11</f>
        <v>18601694</v>
      </c>
      <c r="R11" s="301">
        <f>J11</f>
        <v>18567953</v>
      </c>
      <c r="S11" s="301">
        <f>K11</f>
        <v>18416254</v>
      </c>
      <c r="T11" s="760">
        <f>S11/R11</f>
        <v>0.9918300633354684</v>
      </c>
      <c r="U11" s="380">
        <v>0</v>
      </c>
      <c r="V11" s="296">
        <v>0</v>
      </c>
      <c r="W11" s="296"/>
      <c r="X11" s="296"/>
      <c r="Y11" s="296"/>
      <c r="Z11" s="296"/>
      <c r="AA11" s="296"/>
      <c r="AB11" s="760"/>
    </row>
    <row r="12" spans="1:38" ht="21.75" customHeight="1" hidden="1">
      <c r="A12" s="107"/>
      <c r="B12" s="103"/>
      <c r="C12" s="103"/>
      <c r="D12" s="342"/>
      <c r="E12" s="380"/>
      <c r="F12" s="296"/>
      <c r="G12" s="296"/>
      <c r="H12" s="296"/>
      <c r="I12" s="296"/>
      <c r="J12" s="296"/>
      <c r="K12" s="296"/>
      <c r="L12" s="760" t="e">
        <f>K12/J12</f>
        <v>#DIV/0!</v>
      </c>
      <c r="M12" s="380"/>
      <c r="N12" s="296"/>
      <c r="O12" s="296"/>
      <c r="P12" s="296"/>
      <c r="Q12" s="296"/>
      <c r="R12" s="296"/>
      <c r="S12" s="296"/>
      <c r="T12" s="760" t="e">
        <f>S12/R12</f>
        <v>#DIV/0!</v>
      </c>
      <c r="U12" s="380"/>
      <c r="V12" s="296"/>
      <c r="W12" s="296"/>
      <c r="X12" s="296"/>
      <c r="Y12" s="296"/>
      <c r="Z12" s="296"/>
      <c r="AA12" s="296"/>
      <c r="AB12" s="760" t="e">
        <f>AA12/Z12</f>
        <v>#DIV/0!</v>
      </c>
      <c r="AL12" s="338" t="s">
        <v>257</v>
      </c>
    </row>
    <row r="13" spans="1:28" ht="21.75" customHeight="1">
      <c r="A13" s="107"/>
      <c r="B13" s="103" t="s">
        <v>39</v>
      </c>
      <c r="C13" s="1311" t="s">
        <v>300</v>
      </c>
      <c r="D13" s="1311"/>
      <c r="E13" s="380">
        <f aca="true" t="shared" si="5" ref="E13:J13">SUM(E14:E15)</f>
        <v>100000000</v>
      </c>
      <c r="F13" s="296">
        <f t="shared" si="5"/>
        <v>100000000</v>
      </c>
      <c r="G13" s="296">
        <f t="shared" si="5"/>
        <v>100000000</v>
      </c>
      <c r="H13" s="296">
        <f t="shared" si="5"/>
        <v>100000000</v>
      </c>
      <c r="I13" s="296">
        <f t="shared" si="5"/>
        <v>100000000</v>
      </c>
      <c r="J13" s="296">
        <f t="shared" si="5"/>
        <v>142102983</v>
      </c>
      <c r="K13" s="296">
        <f>SUM(K14:K15)</f>
        <v>136590768</v>
      </c>
      <c r="L13" s="760">
        <f>K13/J13</f>
        <v>0.9612097164772396</v>
      </c>
      <c r="M13" s="380">
        <f aca="true" t="shared" si="6" ref="M13:Z13">SUM(M14:M15)</f>
        <v>79352207</v>
      </c>
      <c r="N13" s="296">
        <f t="shared" si="6"/>
        <v>79352207</v>
      </c>
      <c r="O13" s="296">
        <f t="shared" si="6"/>
        <v>79342207</v>
      </c>
      <c r="P13" s="296">
        <f t="shared" si="6"/>
        <v>79112207</v>
      </c>
      <c r="Q13" s="296">
        <f t="shared" si="6"/>
        <v>79112207</v>
      </c>
      <c r="R13" s="296">
        <f t="shared" si="6"/>
        <v>121002650</v>
      </c>
      <c r="S13" s="296">
        <f>SUM(S14:S15)</f>
        <v>115490435</v>
      </c>
      <c r="T13" s="760">
        <f>S13/R13</f>
        <v>0.95444550181339</v>
      </c>
      <c r="U13" s="380">
        <f t="shared" si="6"/>
        <v>20647793</v>
      </c>
      <c r="V13" s="296">
        <f t="shared" si="6"/>
        <v>20647793</v>
      </c>
      <c r="W13" s="296">
        <f t="shared" si="6"/>
        <v>20657793</v>
      </c>
      <c r="X13" s="296">
        <f t="shared" si="6"/>
        <v>20887793</v>
      </c>
      <c r="Y13" s="296">
        <f t="shared" si="6"/>
        <v>20887793</v>
      </c>
      <c r="Z13" s="296">
        <f t="shared" si="6"/>
        <v>21100333</v>
      </c>
      <c r="AA13" s="296">
        <f>SUM(AA14:AA15)</f>
        <v>21100333</v>
      </c>
      <c r="AB13" s="760">
        <f>AA13/Z13</f>
        <v>1</v>
      </c>
    </row>
    <row r="14" spans="1:28" ht="21.75" customHeight="1">
      <c r="A14" s="107"/>
      <c r="B14" s="103"/>
      <c r="C14" s="103" t="s">
        <v>301</v>
      </c>
      <c r="D14" s="575" t="s">
        <v>306</v>
      </c>
      <c r="E14" s="380">
        <v>100000000</v>
      </c>
      <c r="F14" s="296">
        <v>100000000</v>
      </c>
      <c r="G14" s="296">
        <v>100000000</v>
      </c>
      <c r="H14" s="296">
        <v>100000000</v>
      </c>
      <c r="I14" s="296">
        <v>100000000</v>
      </c>
      <c r="J14" s="296">
        <v>142102983</v>
      </c>
      <c r="K14" s="296">
        <v>136590768</v>
      </c>
      <c r="L14" s="760">
        <f>K14/J14</f>
        <v>0.9612097164772396</v>
      </c>
      <c r="M14" s="380">
        <f>E14-U14</f>
        <v>79352207</v>
      </c>
      <c r="N14" s="296">
        <f>F14-V14</f>
        <v>79352207</v>
      </c>
      <c r="O14" s="296">
        <f>100000000-W14</f>
        <v>79342207</v>
      </c>
      <c r="P14" s="296">
        <f>100000000-X14</f>
        <v>79112207</v>
      </c>
      <c r="Q14" s="296">
        <f>100000000-Y14</f>
        <v>79112207</v>
      </c>
      <c r="R14" s="296">
        <f>J14-Z14</f>
        <v>121002650</v>
      </c>
      <c r="S14" s="296">
        <f>K14-AA14</f>
        <v>115490435</v>
      </c>
      <c r="T14" s="760">
        <f>S14/R14</f>
        <v>0.95444550181339</v>
      </c>
      <c r="U14" s="380">
        <v>20647793</v>
      </c>
      <c r="V14" s="296">
        <v>20647793</v>
      </c>
      <c r="W14" s="296">
        <v>20657793</v>
      </c>
      <c r="X14" s="296">
        <f>20657793+230000</f>
        <v>20887793</v>
      </c>
      <c r="Y14" s="296">
        <f>20657793+230000</f>
        <v>20887793</v>
      </c>
      <c r="Z14" s="296">
        <f>20657793+230000+212540</f>
        <v>21100333</v>
      </c>
      <c r="AA14" s="296">
        <f>20657793+230000+212540</f>
        <v>21100333</v>
      </c>
      <c r="AB14" s="760">
        <f>AA14/Z14</f>
        <v>1</v>
      </c>
    </row>
    <row r="15" spans="1:28" ht="21.75" customHeight="1">
      <c r="A15" s="107"/>
      <c r="B15" s="103"/>
      <c r="C15" s="103" t="s">
        <v>302</v>
      </c>
      <c r="D15" s="575" t="s">
        <v>307</v>
      </c>
      <c r="E15" s="380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760"/>
      <c r="M15" s="380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/>
      <c r="T15" s="760"/>
      <c r="U15" s="380">
        <v>0</v>
      </c>
      <c r="V15" s="296">
        <v>0</v>
      </c>
      <c r="W15" s="296"/>
      <c r="X15" s="296"/>
      <c r="Y15" s="296"/>
      <c r="Z15" s="296"/>
      <c r="AA15" s="296"/>
      <c r="AB15" s="760"/>
    </row>
    <row r="16" spans="1:28" ht="21.75" customHeight="1">
      <c r="A16" s="107"/>
      <c r="B16" s="103" t="s">
        <v>117</v>
      </c>
      <c r="C16" s="1311" t="s">
        <v>308</v>
      </c>
      <c r="D16" s="1311"/>
      <c r="E16" s="380">
        <v>12000000</v>
      </c>
      <c r="F16" s="296">
        <v>12000000</v>
      </c>
      <c r="G16" s="296">
        <v>12000000</v>
      </c>
      <c r="H16" s="296">
        <v>12000000</v>
      </c>
      <c r="I16" s="296">
        <f>12000000+150681</f>
        <v>12150681</v>
      </c>
      <c r="J16" s="296">
        <v>14312398</v>
      </c>
      <c r="K16" s="296">
        <v>13214801</v>
      </c>
      <c r="L16" s="760">
        <f>K16/J16</f>
        <v>0.9233114534685243</v>
      </c>
      <c r="M16" s="380">
        <v>12000000</v>
      </c>
      <c r="N16" s="296">
        <v>12000000</v>
      </c>
      <c r="O16" s="296">
        <v>12000000</v>
      </c>
      <c r="P16" s="301">
        <f>H16</f>
        <v>12000000</v>
      </c>
      <c r="Q16" s="301">
        <f>I16</f>
        <v>12150681</v>
      </c>
      <c r="R16" s="301">
        <f>J16</f>
        <v>14312398</v>
      </c>
      <c r="S16" s="301">
        <f>K16</f>
        <v>13214801</v>
      </c>
      <c r="T16" s="760">
        <f>S16/R16</f>
        <v>0.9233114534685243</v>
      </c>
      <c r="U16" s="380">
        <v>0</v>
      </c>
      <c r="V16" s="296">
        <v>0</v>
      </c>
      <c r="W16" s="296"/>
      <c r="X16" s="296"/>
      <c r="Y16" s="296"/>
      <c r="Z16" s="296"/>
      <c r="AA16" s="296"/>
      <c r="AB16" s="760"/>
    </row>
    <row r="17" spans="1:28" ht="21.75" customHeight="1">
      <c r="A17" s="107"/>
      <c r="B17" s="103" t="s">
        <v>51</v>
      </c>
      <c r="C17" s="1312" t="s">
        <v>309</v>
      </c>
      <c r="D17" s="1312"/>
      <c r="E17" s="380">
        <f>SUM(E18:E19)</f>
        <v>800000</v>
      </c>
      <c r="F17" s="296">
        <f>SUM(F18:F19)</f>
        <v>800000</v>
      </c>
      <c r="G17" s="296">
        <f>SUM(G18:G19)</f>
        <v>1604633</v>
      </c>
      <c r="H17" s="296">
        <f>SUM(H18:H19)</f>
        <v>1766821</v>
      </c>
      <c r="I17" s="296">
        <f>SUM(I18:I19)</f>
        <v>3063808</v>
      </c>
      <c r="J17" s="296">
        <v>0</v>
      </c>
      <c r="K17" s="296">
        <v>0</v>
      </c>
      <c r="L17" s="760"/>
      <c r="M17" s="380">
        <f>SUM(M18:M19)</f>
        <v>800000</v>
      </c>
      <c r="N17" s="296">
        <f>SUM(N18:N19)</f>
        <v>800000</v>
      </c>
      <c r="O17" s="296">
        <f>SUM(O18:O19)</f>
        <v>1604633</v>
      </c>
      <c r="P17" s="296">
        <f>SUM(P18:P19)</f>
        <v>1766821</v>
      </c>
      <c r="Q17" s="296">
        <f>SUM(Q18:Q19)</f>
        <v>3063808</v>
      </c>
      <c r="R17" s="296">
        <v>0</v>
      </c>
      <c r="S17" s="296">
        <v>0</v>
      </c>
      <c r="T17" s="760"/>
      <c r="U17" s="380">
        <v>0</v>
      </c>
      <c r="V17" s="296">
        <v>0</v>
      </c>
      <c r="W17" s="296"/>
      <c r="X17" s="296"/>
      <c r="Y17" s="296"/>
      <c r="Z17" s="296"/>
      <c r="AA17" s="296"/>
      <c r="AB17" s="760"/>
    </row>
    <row r="18" spans="1:28" ht="21.75" customHeight="1">
      <c r="A18" s="107"/>
      <c r="B18" s="103"/>
      <c r="C18" s="103" t="s">
        <v>310</v>
      </c>
      <c r="D18" s="575" t="s">
        <v>312</v>
      </c>
      <c r="E18" s="380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760"/>
      <c r="M18" s="380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760"/>
      <c r="U18" s="380">
        <v>0</v>
      </c>
      <c r="V18" s="296">
        <v>0</v>
      </c>
      <c r="W18" s="296"/>
      <c r="X18" s="296"/>
      <c r="Y18" s="296"/>
      <c r="Z18" s="296"/>
      <c r="AA18" s="296"/>
      <c r="AB18" s="760"/>
    </row>
    <row r="19" spans="1:28" ht="21.75" customHeight="1">
      <c r="A19" s="107"/>
      <c r="B19" s="103"/>
      <c r="C19" s="103" t="s">
        <v>311</v>
      </c>
      <c r="D19" s="575" t="s">
        <v>284</v>
      </c>
      <c r="E19" s="380">
        <v>800000</v>
      </c>
      <c r="F19" s="296">
        <f>800000</f>
        <v>800000</v>
      </c>
      <c r="G19" s="296">
        <f>800000+804633</f>
        <v>1604633</v>
      </c>
      <c r="H19" s="296">
        <f>800000+804633+162188</f>
        <v>1766821</v>
      </c>
      <c r="I19" s="296">
        <f>800000+804633+162188+1296987</f>
        <v>3063808</v>
      </c>
      <c r="J19" s="296">
        <v>0</v>
      </c>
      <c r="K19" s="296">
        <v>0</v>
      </c>
      <c r="L19" s="760"/>
      <c r="M19" s="380">
        <v>800000</v>
      </c>
      <c r="N19" s="296">
        <v>800000</v>
      </c>
      <c r="O19" s="296">
        <f>800000+804633</f>
        <v>1604633</v>
      </c>
      <c r="P19" s="301">
        <f aca="true" t="shared" si="7" ref="P19:S20">H19</f>
        <v>1766821</v>
      </c>
      <c r="Q19" s="301">
        <f t="shared" si="7"/>
        <v>3063808</v>
      </c>
      <c r="R19" s="301">
        <f t="shared" si="7"/>
        <v>0</v>
      </c>
      <c r="S19" s="301">
        <f t="shared" si="7"/>
        <v>0</v>
      </c>
      <c r="T19" s="760"/>
      <c r="U19" s="380">
        <v>0</v>
      </c>
      <c r="V19" s="296">
        <v>0</v>
      </c>
      <c r="W19" s="296"/>
      <c r="X19" s="296"/>
      <c r="Y19" s="296"/>
      <c r="Z19" s="296"/>
      <c r="AA19" s="296"/>
      <c r="AB19" s="760"/>
    </row>
    <row r="20" spans="1:28" ht="21.75" customHeight="1" thickBot="1">
      <c r="A20" s="467"/>
      <c r="B20" s="631" t="s">
        <v>52</v>
      </c>
      <c r="C20" s="1314" t="s">
        <v>313</v>
      </c>
      <c r="D20" s="1314"/>
      <c r="E20" s="466">
        <v>560000</v>
      </c>
      <c r="F20" s="972">
        <v>560000</v>
      </c>
      <c r="G20" s="972">
        <f>560000+20</f>
        <v>560020</v>
      </c>
      <c r="H20" s="972">
        <f>560000+20</f>
        <v>560020</v>
      </c>
      <c r="I20" s="972">
        <f>560000+20</f>
        <v>560020</v>
      </c>
      <c r="J20" s="972">
        <f>667782+3195209</f>
        <v>3862991</v>
      </c>
      <c r="K20" s="972">
        <v>2217020</v>
      </c>
      <c r="L20" s="760">
        <f>K20/J20</f>
        <v>0.57391280487063</v>
      </c>
      <c r="M20" s="466">
        <v>560000</v>
      </c>
      <c r="N20" s="972">
        <v>560000</v>
      </c>
      <c r="O20" s="972">
        <f>560000+20</f>
        <v>560020</v>
      </c>
      <c r="P20" s="301">
        <f t="shared" si="7"/>
        <v>560020</v>
      </c>
      <c r="Q20" s="301">
        <f t="shared" si="7"/>
        <v>560020</v>
      </c>
      <c r="R20" s="301">
        <f t="shared" si="7"/>
        <v>3862991</v>
      </c>
      <c r="S20" s="301">
        <f t="shared" si="7"/>
        <v>2217020</v>
      </c>
      <c r="T20" s="760">
        <f>S20/R20</f>
        <v>0.57391280487063</v>
      </c>
      <c r="U20" s="466">
        <v>0</v>
      </c>
      <c r="V20" s="972">
        <v>0</v>
      </c>
      <c r="W20" s="972"/>
      <c r="X20" s="972"/>
      <c r="Y20" s="972"/>
      <c r="Z20" s="972"/>
      <c r="AA20" s="972"/>
      <c r="AB20" s="760"/>
    </row>
    <row r="21" spans="1:29" ht="21.75" customHeight="1" thickBot="1">
      <c r="A21" s="110" t="s">
        <v>314</v>
      </c>
      <c r="B21" s="1300" t="s">
        <v>315</v>
      </c>
      <c r="C21" s="1300"/>
      <c r="D21" s="1300"/>
      <c r="E21" s="378">
        <f aca="true" t="shared" si="8" ref="E21:J21">E22+E23+E24+E28+E29+E30+E31</f>
        <v>17317918</v>
      </c>
      <c r="F21" s="294">
        <f t="shared" si="8"/>
        <v>17317918</v>
      </c>
      <c r="G21" s="294">
        <f t="shared" si="8"/>
        <v>18349833</v>
      </c>
      <c r="H21" s="294">
        <f t="shared" si="8"/>
        <v>19273788</v>
      </c>
      <c r="I21" s="294">
        <f t="shared" si="8"/>
        <v>19953970</v>
      </c>
      <c r="J21" s="294">
        <f t="shared" si="8"/>
        <v>20167944</v>
      </c>
      <c r="K21" s="294">
        <f>K22+K23+K24+K28+K29+K30+K31</f>
        <v>18393144</v>
      </c>
      <c r="L21" s="758">
        <f>K21/J21</f>
        <v>0.9119989623136597</v>
      </c>
      <c r="M21" s="378">
        <f aca="true" t="shared" si="9" ref="M21:R21">M22+M23+M24+M28+M29+M30+M31</f>
        <v>17317918</v>
      </c>
      <c r="N21" s="294">
        <f t="shared" si="9"/>
        <v>17317918</v>
      </c>
      <c r="O21" s="294">
        <f t="shared" si="9"/>
        <v>18349833</v>
      </c>
      <c r="P21" s="294">
        <f t="shared" si="9"/>
        <v>19273788</v>
      </c>
      <c r="Q21" s="294">
        <f t="shared" si="9"/>
        <v>19953970</v>
      </c>
      <c r="R21" s="294">
        <f t="shared" si="9"/>
        <v>20167944</v>
      </c>
      <c r="S21" s="294">
        <f>S22+S23+S24+S28+S29+S30+S31</f>
        <v>18393144</v>
      </c>
      <c r="T21" s="758">
        <f>S21/R21</f>
        <v>0.9119989623136597</v>
      </c>
      <c r="U21" s="378">
        <f>SUM(U22:U31)</f>
        <v>0</v>
      </c>
      <c r="V21" s="294">
        <f>SUM(V22:V31)</f>
        <v>0</v>
      </c>
      <c r="W21" s="294">
        <f>W22+W23+W24+W28+W29+W30+W31</f>
        <v>0</v>
      </c>
      <c r="X21" s="294">
        <f>X22+X23+X24+X28+X29+X30+X31</f>
        <v>0</v>
      </c>
      <c r="Y21" s="294">
        <f>Y22+Y23+Y24+Y28+Y29+Y30+Y31</f>
        <v>0</v>
      </c>
      <c r="Z21" s="294">
        <f>Z22+Z23+Z24+Z28+Z29+Z30+Z31</f>
        <v>0</v>
      </c>
      <c r="AA21" s="294">
        <f>AA22+AA23+AA24+AA28+AA29+AA30+AA31</f>
        <v>0</v>
      </c>
      <c r="AB21" s="758"/>
      <c r="AC21" s="337"/>
    </row>
    <row r="22" spans="1:28" ht="21.75" customHeight="1">
      <c r="A22" s="108"/>
      <c r="B22" s="109" t="s">
        <v>41</v>
      </c>
      <c r="C22" s="1308" t="s">
        <v>316</v>
      </c>
      <c r="D22" s="1308"/>
      <c r="E22" s="379">
        <v>170000</v>
      </c>
      <c r="F22" s="295">
        <v>170000</v>
      </c>
      <c r="G22" s="295">
        <f>170000+181500</f>
        <v>351500</v>
      </c>
      <c r="H22" s="295">
        <f>170000+181500+174700</f>
        <v>526200</v>
      </c>
      <c r="I22" s="295">
        <f>170000+181500+174700+53600+30000</f>
        <v>609800</v>
      </c>
      <c r="J22" s="295">
        <v>944344</v>
      </c>
      <c r="K22" s="295">
        <v>797624</v>
      </c>
      <c r="L22" s="760">
        <f>K22/J22</f>
        <v>0.8446328880153843</v>
      </c>
      <c r="M22" s="379">
        <v>170000</v>
      </c>
      <c r="N22" s="295">
        <v>170000</v>
      </c>
      <c r="O22" s="295">
        <f>170000+181500</f>
        <v>351500</v>
      </c>
      <c r="P22" s="301">
        <f aca="true" t="shared" si="10" ref="P22:S23">H22</f>
        <v>526200</v>
      </c>
      <c r="Q22" s="301">
        <f t="shared" si="10"/>
        <v>609800</v>
      </c>
      <c r="R22" s="301">
        <f t="shared" si="10"/>
        <v>944344</v>
      </c>
      <c r="S22" s="301">
        <f t="shared" si="10"/>
        <v>797624</v>
      </c>
      <c r="T22" s="760">
        <f>S22/R22</f>
        <v>0.8446328880153843</v>
      </c>
      <c r="U22" s="379">
        <v>0</v>
      </c>
      <c r="V22" s="295">
        <v>0</v>
      </c>
      <c r="W22" s="295"/>
      <c r="X22" s="295"/>
      <c r="Y22" s="295"/>
      <c r="Z22" s="295"/>
      <c r="AA22" s="295"/>
      <c r="AB22" s="760"/>
    </row>
    <row r="23" spans="1:28" ht="21.75" customHeight="1">
      <c r="A23" s="107"/>
      <c r="B23" s="103" t="s">
        <v>42</v>
      </c>
      <c r="C23" s="1296" t="s">
        <v>349</v>
      </c>
      <c r="D23" s="1296"/>
      <c r="E23" s="382">
        <v>5783000</v>
      </c>
      <c r="F23" s="297">
        <v>5783000</v>
      </c>
      <c r="G23" s="297">
        <v>5783000</v>
      </c>
      <c r="H23" s="297">
        <v>5783000</v>
      </c>
      <c r="I23" s="297">
        <v>5783000</v>
      </c>
      <c r="J23" s="297">
        <v>3529945</v>
      </c>
      <c r="K23" s="297">
        <v>3168357</v>
      </c>
      <c r="L23" s="760">
        <f>K23/J23</f>
        <v>0.8975655428059077</v>
      </c>
      <c r="M23" s="382">
        <v>5783000</v>
      </c>
      <c r="N23" s="297">
        <v>5783000</v>
      </c>
      <c r="O23" s="297">
        <v>5783000</v>
      </c>
      <c r="P23" s="301">
        <f t="shared" si="10"/>
        <v>5783000</v>
      </c>
      <c r="Q23" s="301">
        <f t="shared" si="10"/>
        <v>5783000</v>
      </c>
      <c r="R23" s="301">
        <f t="shared" si="10"/>
        <v>3529945</v>
      </c>
      <c r="S23" s="301">
        <f t="shared" si="10"/>
        <v>3168357</v>
      </c>
      <c r="T23" s="760">
        <f>S23/R23</f>
        <v>0.8975655428059077</v>
      </c>
      <c r="U23" s="382">
        <v>0</v>
      </c>
      <c r="V23" s="297">
        <v>0</v>
      </c>
      <c r="W23" s="297"/>
      <c r="X23" s="297"/>
      <c r="Y23" s="297"/>
      <c r="Z23" s="297"/>
      <c r="AA23" s="297"/>
      <c r="AB23" s="760"/>
    </row>
    <row r="24" spans="1:28" ht="21.75" customHeight="1">
      <c r="A24" s="107"/>
      <c r="B24" s="103" t="s">
        <v>43</v>
      </c>
      <c r="C24" s="1296" t="s">
        <v>318</v>
      </c>
      <c r="D24" s="1296"/>
      <c r="E24" s="382">
        <f aca="true" t="shared" si="11" ref="E24:J24">SUM(E25:E27)</f>
        <v>9403508</v>
      </c>
      <c r="F24" s="297">
        <f t="shared" si="11"/>
        <v>9403508</v>
      </c>
      <c r="G24" s="297">
        <f t="shared" si="11"/>
        <v>9871016</v>
      </c>
      <c r="H24" s="297">
        <f t="shared" si="11"/>
        <v>10404870</v>
      </c>
      <c r="I24" s="297">
        <f t="shared" si="11"/>
        <v>10404870</v>
      </c>
      <c r="J24" s="297">
        <f t="shared" si="11"/>
        <v>11215819</v>
      </c>
      <c r="K24" s="297">
        <f>SUM(K25:K27)</f>
        <v>11014619</v>
      </c>
      <c r="L24" s="760">
        <f>K24/J24</f>
        <v>0.9820610514488509</v>
      </c>
      <c r="M24" s="382">
        <f aca="true" t="shared" si="12" ref="M24:R24">SUM(M25:M27)</f>
        <v>9403508</v>
      </c>
      <c r="N24" s="297">
        <f t="shared" si="12"/>
        <v>9403508</v>
      </c>
      <c r="O24" s="297">
        <f t="shared" si="12"/>
        <v>9871016</v>
      </c>
      <c r="P24" s="297">
        <f t="shared" si="12"/>
        <v>10404870</v>
      </c>
      <c r="Q24" s="297">
        <f t="shared" si="12"/>
        <v>10404870</v>
      </c>
      <c r="R24" s="297">
        <f t="shared" si="12"/>
        <v>11215819</v>
      </c>
      <c r="S24" s="297">
        <f>SUM(S25:S27)</f>
        <v>11014619</v>
      </c>
      <c r="T24" s="760">
        <f>S24/R24</f>
        <v>0.9820610514488509</v>
      </c>
      <c r="U24" s="382">
        <v>0</v>
      </c>
      <c r="V24" s="297">
        <v>0</v>
      </c>
      <c r="W24" s="297"/>
      <c r="X24" s="297"/>
      <c r="Y24" s="297"/>
      <c r="Z24" s="297"/>
      <c r="AA24" s="297"/>
      <c r="AB24" s="760"/>
    </row>
    <row r="25" spans="1:28" ht="21.75" customHeight="1">
      <c r="A25" s="107"/>
      <c r="B25" s="103"/>
      <c r="C25" s="103" t="s">
        <v>100</v>
      </c>
      <c r="D25" s="342" t="s">
        <v>319</v>
      </c>
      <c r="E25" s="382">
        <v>9403508</v>
      </c>
      <c r="F25" s="297">
        <v>9403508</v>
      </c>
      <c r="G25" s="297">
        <f>9403508+77150</f>
        <v>9480658</v>
      </c>
      <c r="H25" s="297">
        <f>9403508+77150+533854</f>
        <v>10014512</v>
      </c>
      <c r="I25" s="297">
        <f>9403508+77150+533854</f>
        <v>10014512</v>
      </c>
      <c r="J25" s="297">
        <f>1410242+8355655+673560</f>
        <v>10439457</v>
      </c>
      <c r="K25" s="297">
        <v>10238257</v>
      </c>
      <c r="L25" s="760">
        <f aca="true" t="shared" si="13" ref="L25:L31">K25/J25</f>
        <v>0.9807269669294102</v>
      </c>
      <c r="M25" s="382">
        <v>9403508</v>
      </c>
      <c r="N25" s="297">
        <v>9403508</v>
      </c>
      <c r="O25" s="297">
        <f>9403508+77150</f>
        <v>9480658</v>
      </c>
      <c r="P25" s="301">
        <f aca="true" t="shared" si="14" ref="P25:S26">H25</f>
        <v>10014512</v>
      </c>
      <c r="Q25" s="301">
        <f t="shared" si="14"/>
        <v>10014512</v>
      </c>
      <c r="R25" s="301">
        <f t="shared" si="14"/>
        <v>10439457</v>
      </c>
      <c r="S25" s="301">
        <f t="shared" si="14"/>
        <v>10238257</v>
      </c>
      <c r="T25" s="760">
        <f aca="true" t="shared" si="15" ref="T25:T31">S25/R25</f>
        <v>0.9807269669294102</v>
      </c>
      <c r="U25" s="382">
        <v>0</v>
      </c>
      <c r="V25" s="297">
        <v>0</v>
      </c>
      <c r="W25" s="297"/>
      <c r="X25" s="297"/>
      <c r="Y25" s="297"/>
      <c r="Z25" s="297"/>
      <c r="AA25" s="297"/>
      <c r="AB25" s="760"/>
    </row>
    <row r="26" spans="1:28" ht="41.25" customHeight="1">
      <c r="A26" s="107"/>
      <c r="B26" s="103"/>
      <c r="C26" s="103" t="s">
        <v>101</v>
      </c>
      <c r="D26" s="342" t="s">
        <v>320</v>
      </c>
      <c r="E26" s="382">
        <v>0</v>
      </c>
      <c r="F26" s="297">
        <v>0</v>
      </c>
      <c r="G26" s="297">
        <v>390358</v>
      </c>
      <c r="H26" s="297">
        <v>390358</v>
      </c>
      <c r="I26" s="297">
        <v>390358</v>
      </c>
      <c r="J26" s="297">
        <v>390358</v>
      </c>
      <c r="K26" s="297">
        <v>390358</v>
      </c>
      <c r="L26" s="760">
        <f t="shared" si="13"/>
        <v>1</v>
      </c>
      <c r="M26" s="382">
        <v>0</v>
      </c>
      <c r="N26" s="297">
        <v>0</v>
      </c>
      <c r="O26" s="297">
        <v>390358</v>
      </c>
      <c r="P26" s="301">
        <f t="shared" si="14"/>
        <v>390358</v>
      </c>
      <c r="Q26" s="301">
        <f t="shared" si="14"/>
        <v>390358</v>
      </c>
      <c r="R26" s="301">
        <f t="shared" si="14"/>
        <v>390358</v>
      </c>
      <c r="S26" s="301">
        <f t="shared" si="14"/>
        <v>390358</v>
      </c>
      <c r="T26" s="760">
        <f t="shared" si="15"/>
        <v>1</v>
      </c>
      <c r="U26" s="382">
        <v>0</v>
      </c>
      <c r="V26" s="297">
        <v>0</v>
      </c>
      <c r="W26" s="297"/>
      <c r="X26" s="297"/>
      <c r="Y26" s="297"/>
      <c r="Z26" s="297"/>
      <c r="AA26" s="297"/>
      <c r="AB26" s="760"/>
    </row>
    <row r="27" spans="1:28" ht="21.75" customHeight="1">
      <c r="A27" s="107"/>
      <c r="B27" s="103"/>
      <c r="C27" s="103" t="s">
        <v>102</v>
      </c>
      <c r="D27" s="342" t="s">
        <v>587</v>
      </c>
      <c r="E27" s="382">
        <v>0</v>
      </c>
      <c r="F27" s="297">
        <v>0</v>
      </c>
      <c r="G27" s="297">
        <v>0</v>
      </c>
      <c r="H27" s="297">
        <v>0</v>
      </c>
      <c r="I27" s="297">
        <v>0</v>
      </c>
      <c r="J27" s="297">
        <v>386004</v>
      </c>
      <c r="K27" s="297">
        <v>386004</v>
      </c>
      <c r="L27" s="760">
        <f t="shared" si="13"/>
        <v>1</v>
      </c>
      <c r="M27" s="382">
        <v>0</v>
      </c>
      <c r="N27" s="297">
        <v>0</v>
      </c>
      <c r="O27" s="297">
        <v>0</v>
      </c>
      <c r="P27" s="297">
        <v>0</v>
      </c>
      <c r="Q27" s="297">
        <v>0</v>
      </c>
      <c r="R27" s="301">
        <f>J27</f>
        <v>386004</v>
      </c>
      <c r="S27" s="301">
        <f>K27</f>
        <v>386004</v>
      </c>
      <c r="T27" s="760">
        <f t="shared" si="15"/>
        <v>1</v>
      </c>
      <c r="U27" s="382">
        <v>0</v>
      </c>
      <c r="V27" s="297">
        <v>0</v>
      </c>
      <c r="W27" s="297"/>
      <c r="X27" s="297"/>
      <c r="Y27" s="297"/>
      <c r="Z27" s="297"/>
      <c r="AA27" s="297"/>
      <c r="AB27" s="760"/>
    </row>
    <row r="28" spans="1:28" ht="21.75" customHeight="1">
      <c r="A28" s="107"/>
      <c r="B28" s="103" t="s">
        <v>285</v>
      </c>
      <c r="C28" s="1296" t="s">
        <v>321</v>
      </c>
      <c r="D28" s="1296"/>
      <c r="E28" s="382">
        <v>1561410</v>
      </c>
      <c r="F28" s="297">
        <v>1561410</v>
      </c>
      <c r="G28" s="297">
        <f>1561410+49005</f>
        <v>1610415</v>
      </c>
      <c r="H28" s="297">
        <f>1561410+49005</f>
        <v>1610415</v>
      </c>
      <c r="I28" s="297">
        <f>1561410+49005+14472+8100</f>
        <v>1632987</v>
      </c>
      <c r="J28" s="297">
        <f>1561410+49005+14472+8100</f>
        <v>1632987</v>
      </c>
      <c r="K28" s="297">
        <v>1081000</v>
      </c>
      <c r="L28" s="760">
        <f t="shared" si="13"/>
        <v>0.6619771008587331</v>
      </c>
      <c r="M28" s="382">
        <v>1561410</v>
      </c>
      <c r="N28" s="297">
        <v>1561410</v>
      </c>
      <c r="O28" s="297">
        <f>1561410+49005</f>
        <v>1610415</v>
      </c>
      <c r="P28" s="301">
        <f>H28</f>
        <v>1610415</v>
      </c>
      <c r="Q28" s="301">
        <f>I28</f>
        <v>1632987</v>
      </c>
      <c r="R28" s="301">
        <f>J28</f>
        <v>1632987</v>
      </c>
      <c r="S28" s="301">
        <f>K28</f>
        <v>1081000</v>
      </c>
      <c r="T28" s="760">
        <f t="shared" si="15"/>
        <v>0.6619771008587331</v>
      </c>
      <c r="U28" s="382">
        <v>0</v>
      </c>
      <c r="V28" s="297">
        <v>0</v>
      </c>
      <c r="W28" s="297"/>
      <c r="X28" s="297"/>
      <c r="Y28" s="297"/>
      <c r="Z28" s="297"/>
      <c r="AA28" s="297"/>
      <c r="AB28" s="760"/>
    </row>
    <row r="29" spans="1:28" ht="21.75" customHeight="1">
      <c r="A29" s="111"/>
      <c r="B29" s="112" t="s">
        <v>322</v>
      </c>
      <c r="C29" s="1296" t="s">
        <v>323</v>
      </c>
      <c r="D29" s="1296"/>
      <c r="E29" s="382">
        <v>0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  <c r="K29" s="297">
        <v>0</v>
      </c>
      <c r="L29" s="760"/>
      <c r="M29" s="382">
        <v>0</v>
      </c>
      <c r="N29" s="297">
        <v>0</v>
      </c>
      <c r="O29" s="297">
        <v>0</v>
      </c>
      <c r="P29" s="297">
        <v>0</v>
      </c>
      <c r="Q29" s="297">
        <v>0</v>
      </c>
      <c r="R29" s="297">
        <v>0</v>
      </c>
      <c r="S29" s="297"/>
      <c r="T29" s="760"/>
      <c r="U29" s="382">
        <v>0</v>
      </c>
      <c r="V29" s="297">
        <v>0</v>
      </c>
      <c r="W29" s="297"/>
      <c r="X29" s="297"/>
      <c r="Y29" s="297"/>
      <c r="Z29" s="297"/>
      <c r="AA29" s="297"/>
      <c r="AB29" s="760"/>
    </row>
    <row r="30" spans="1:28" ht="21.75" customHeight="1">
      <c r="A30" s="111"/>
      <c r="B30" s="112" t="s">
        <v>324</v>
      </c>
      <c r="C30" s="1296" t="s">
        <v>325</v>
      </c>
      <c r="D30" s="1296"/>
      <c r="E30" s="382">
        <v>400000</v>
      </c>
      <c r="F30" s="297">
        <v>400000</v>
      </c>
      <c r="G30" s="297">
        <v>400000</v>
      </c>
      <c r="H30" s="297">
        <v>400000</v>
      </c>
      <c r="I30" s="297">
        <v>400000</v>
      </c>
      <c r="J30" s="297">
        <v>400000</v>
      </c>
      <c r="K30" s="297">
        <v>121095</v>
      </c>
      <c r="L30" s="760">
        <f t="shared" si="13"/>
        <v>0.3027375</v>
      </c>
      <c r="M30" s="382">
        <v>400000</v>
      </c>
      <c r="N30" s="297">
        <v>400000</v>
      </c>
      <c r="O30" s="297">
        <v>400000</v>
      </c>
      <c r="P30" s="301">
        <f aca="true" t="shared" si="16" ref="P30:S31">H30</f>
        <v>400000</v>
      </c>
      <c r="Q30" s="301">
        <f t="shared" si="16"/>
        <v>400000</v>
      </c>
      <c r="R30" s="301">
        <f t="shared" si="16"/>
        <v>400000</v>
      </c>
      <c r="S30" s="301">
        <f t="shared" si="16"/>
        <v>121095</v>
      </c>
      <c r="T30" s="760">
        <f t="shared" si="15"/>
        <v>0.3027375</v>
      </c>
      <c r="U30" s="382">
        <v>0</v>
      </c>
      <c r="V30" s="297">
        <v>0</v>
      </c>
      <c r="W30" s="297"/>
      <c r="X30" s="297"/>
      <c r="Y30" s="297"/>
      <c r="Z30" s="297"/>
      <c r="AA30" s="297"/>
      <c r="AB30" s="760"/>
    </row>
    <row r="31" spans="1:28" ht="21.75" customHeight="1" thickBot="1">
      <c r="A31" s="111"/>
      <c r="B31" s="112" t="s">
        <v>73</v>
      </c>
      <c r="C31" s="1301" t="s">
        <v>74</v>
      </c>
      <c r="D31" s="1301"/>
      <c r="E31" s="382">
        <v>0</v>
      </c>
      <c r="F31" s="297">
        <v>0</v>
      </c>
      <c r="G31" s="297">
        <v>333902</v>
      </c>
      <c r="H31" s="297">
        <f>333902+215401</f>
        <v>549303</v>
      </c>
      <c r="I31" s="297">
        <f>333902+215401+574010</f>
        <v>1123313</v>
      </c>
      <c r="J31" s="297">
        <v>2444849</v>
      </c>
      <c r="K31" s="297">
        <v>2210449</v>
      </c>
      <c r="L31" s="760">
        <f t="shared" si="13"/>
        <v>0.9041249582285041</v>
      </c>
      <c r="M31" s="382">
        <v>0</v>
      </c>
      <c r="N31" s="297">
        <v>0</v>
      </c>
      <c r="O31" s="297">
        <v>333902</v>
      </c>
      <c r="P31" s="301">
        <f t="shared" si="16"/>
        <v>549303</v>
      </c>
      <c r="Q31" s="301">
        <f t="shared" si="16"/>
        <v>1123313</v>
      </c>
      <c r="R31" s="301">
        <f t="shared" si="16"/>
        <v>2444849</v>
      </c>
      <c r="S31" s="301">
        <f t="shared" si="16"/>
        <v>2210449</v>
      </c>
      <c r="T31" s="760">
        <f t="shared" si="15"/>
        <v>0.9041249582285041</v>
      </c>
      <c r="U31" s="382">
        <v>0</v>
      </c>
      <c r="V31" s="297">
        <v>0</v>
      </c>
      <c r="W31" s="297"/>
      <c r="X31" s="297"/>
      <c r="Y31" s="297"/>
      <c r="Z31" s="297"/>
      <c r="AA31" s="297"/>
      <c r="AB31" s="760"/>
    </row>
    <row r="32" spans="1:28" ht="21.75" customHeight="1" thickBot="1">
      <c r="A32" s="114" t="s">
        <v>10</v>
      </c>
      <c r="B32" s="1300" t="s">
        <v>326</v>
      </c>
      <c r="C32" s="1300"/>
      <c r="D32" s="1300"/>
      <c r="E32" s="373">
        <f aca="true" t="shared" si="17" ref="E32:J32">SUM(E33:E37)</f>
        <v>278607033</v>
      </c>
      <c r="F32" s="117">
        <f t="shared" si="17"/>
        <v>278607033</v>
      </c>
      <c r="G32" s="117">
        <f t="shared" si="17"/>
        <v>279487420</v>
      </c>
      <c r="H32" s="117">
        <f t="shared" si="17"/>
        <v>278743471</v>
      </c>
      <c r="I32" s="117">
        <f t="shared" si="17"/>
        <v>276206174</v>
      </c>
      <c r="J32" s="117">
        <f t="shared" si="17"/>
        <v>274048636</v>
      </c>
      <c r="K32" s="117">
        <f>SUM(K33:K37)</f>
        <v>274048636</v>
      </c>
      <c r="L32" s="758">
        <f>K32/J32</f>
        <v>1</v>
      </c>
      <c r="M32" s="373">
        <f aca="true" t="shared" si="18" ref="M32:R32">SUM(M33:M37)</f>
        <v>278607033</v>
      </c>
      <c r="N32" s="117">
        <f t="shared" si="18"/>
        <v>278607033</v>
      </c>
      <c r="O32" s="117">
        <f t="shared" si="18"/>
        <v>279487420</v>
      </c>
      <c r="P32" s="117">
        <f t="shared" si="18"/>
        <v>278743471</v>
      </c>
      <c r="Q32" s="117">
        <f t="shared" si="18"/>
        <v>276206174</v>
      </c>
      <c r="R32" s="117">
        <f t="shared" si="18"/>
        <v>274048636</v>
      </c>
      <c r="S32" s="117">
        <f>SUM(S33:S37)</f>
        <v>274048636</v>
      </c>
      <c r="T32" s="758">
        <f>S32/R32</f>
        <v>1</v>
      </c>
      <c r="U32" s="373">
        <v>0</v>
      </c>
      <c r="V32" s="117">
        <v>0</v>
      </c>
      <c r="W32" s="117"/>
      <c r="X32" s="117"/>
      <c r="Y32" s="117"/>
      <c r="Z32" s="117"/>
      <c r="AA32" s="117"/>
      <c r="AB32" s="758"/>
    </row>
    <row r="33" spans="1:30" ht="21.75" customHeight="1">
      <c r="A33" s="108"/>
      <c r="B33" s="112" t="s">
        <v>44</v>
      </c>
      <c r="C33" s="1298" t="s">
        <v>327</v>
      </c>
      <c r="D33" s="1298"/>
      <c r="E33" s="646">
        <v>237504190</v>
      </c>
      <c r="F33" s="973">
        <f>237504190+3088562</f>
        <v>240592752</v>
      </c>
      <c r="G33" s="973">
        <f>237504190+3088562+4188841+761116</f>
        <v>245542709</v>
      </c>
      <c r="H33" s="973">
        <f>237504190+3088562+4188841+761116+3791376+133938</f>
        <v>249468023</v>
      </c>
      <c r="I33" s="973">
        <f>237504190+3088562+4188841+761116+3791376+133938-138981</f>
        <v>249329042</v>
      </c>
      <c r="J33" s="973">
        <f>73875164+37814266+132340946+3190278</f>
        <v>247220654</v>
      </c>
      <c r="K33" s="973">
        <f>73875164+37814266+132340946+3190278</f>
        <v>247220654</v>
      </c>
      <c r="L33" s="760">
        <f>K33/J33</f>
        <v>1</v>
      </c>
      <c r="M33" s="646">
        <v>237504190</v>
      </c>
      <c r="N33" s="973">
        <f>F33</f>
        <v>240592752</v>
      </c>
      <c r="O33" s="973">
        <f>237504190+3088562+4188841</f>
        <v>244781593</v>
      </c>
      <c r="P33" s="301">
        <f aca="true" t="shared" si="19" ref="P33:S34">H33</f>
        <v>249468023</v>
      </c>
      <c r="Q33" s="301">
        <f t="shared" si="19"/>
        <v>249329042</v>
      </c>
      <c r="R33" s="301">
        <f t="shared" si="19"/>
        <v>247220654</v>
      </c>
      <c r="S33" s="301">
        <f t="shared" si="19"/>
        <v>247220654</v>
      </c>
      <c r="T33" s="760">
        <f>S33/R33</f>
        <v>1</v>
      </c>
      <c r="U33" s="646">
        <v>0</v>
      </c>
      <c r="V33" s="973">
        <v>0</v>
      </c>
      <c r="W33" s="973"/>
      <c r="X33" s="973"/>
      <c r="Y33" s="973"/>
      <c r="Z33" s="973"/>
      <c r="AA33" s="973"/>
      <c r="AB33" s="760"/>
      <c r="AD33" s="337"/>
    </row>
    <row r="34" spans="1:28" ht="21.75" customHeight="1">
      <c r="A34" s="107"/>
      <c r="B34" s="112" t="s">
        <v>45</v>
      </c>
      <c r="C34" s="1296" t="s">
        <v>576</v>
      </c>
      <c r="D34" s="1296"/>
      <c r="E34" s="382">
        <v>0</v>
      </c>
      <c r="F34" s="297">
        <v>0</v>
      </c>
      <c r="G34" s="297">
        <v>3399025</v>
      </c>
      <c r="H34" s="297">
        <f>3399025+1782191</f>
        <v>5181216</v>
      </c>
      <c r="I34" s="297">
        <f>3399025+1782191</f>
        <v>5181216</v>
      </c>
      <c r="J34" s="297">
        <v>9065947</v>
      </c>
      <c r="K34" s="297">
        <v>9065947</v>
      </c>
      <c r="L34" s="760">
        <f>K34/J34</f>
        <v>1</v>
      </c>
      <c r="M34" s="382">
        <v>0</v>
      </c>
      <c r="N34" s="297">
        <v>0</v>
      </c>
      <c r="O34" s="297">
        <v>3399025</v>
      </c>
      <c r="P34" s="301">
        <f t="shared" si="19"/>
        <v>5181216</v>
      </c>
      <c r="Q34" s="301">
        <f t="shared" si="19"/>
        <v>5181216</v>
      </c>
      <c r="R34" s="301">
        <f t="shared" si="19"/>
        <v>9065947</v>
      </c>
      <c r="S34" s="301">
        <f t="shared" si="19"/>
        <v>9065947</v>
      </c>
      <c r="T34" s="760">
        <f>S34/R34</f>
        <v>1</v>
      </c>
      <c r="U34" s="382">
        <v>0</v>
      </c>
      <c r="V34" s="297">
        <v>0</v>
      </c>
      <c r="W34" s="297"/>
      <c r="X34" s="297"/>
      <c r="Y34" s="297"/>
      <c r="Z34" s="297"/>
      <c r="AA34" s="297"/>
      <c r="AB34" s="760"/>
    </row>
    <row r="35" spans="1:28" ht="21.75" customHeight="1">
      <c r="A35" s="107"/>
      <c r="B35" s="112" t="s">
        <v>71</v>
      </c>
      <c r="C35" s="1296" t="s">
        <v>477</v>
      </c>
      <c r="D35" s="1296"/>
      <c r="E35" s="382">
        <v>0</v>
      </c>
      <c r="F35" s="297">
        <v>0</v>
      </c>
      <c r="G35" s="297">
        <v>0</v>
      </c>
      <c r="H35" s="297">
        <v>0</v>
      </c>
      <c r="I35" s="297">
        <v>0</v>
      </c>
      <c r="J35" s="297">
        <v>0</v>
      </c>
      <c r="K35" s="297">
        <v>0</v>
      </c>
      <c r="L35" s="760"/>
      <c r="M35" s="382">
        <v>0</v>
      </c>
      <c r="N35" s="297">
        <v>0</v>
      </c>
      <c r="O35" s="297">
        <v>0</v>
      </c>
      <c r="P35" s="297">
        <v>0</v>
      </c>
      <c r="Q35" s="297">
        <v>0</v>
      </c>
      <c r="R35" s="297">
        <v>0</v>
      </c>
      <c r="S35" s="297">
        <v>0</v>
      </c>
      <c r="T35" s="760"/>
      <c r="U35" s="382">
        <v>0</v>
      </c>
      <c r="V35" s="297">
        <v>0</v>
      </c>
      <c r="W35" s="297"/>
      <c r="X35" s="297"/>
      <c r="Y35" s="297"/>
      <c r="Z35" s="297"/>
      <c r="AA35" s="297"/>
      <c r="AB35" s="760"/>
    </row>
    <row r="36" spans="1:28" ht="21.75" customHeight="1">
      <c r="A36" s="107"/>
      <c r="B36" s="112" t="s">
        <v>72</v>
      </c>
      <c r="C36" s="1296" t="s">
        <v>377</v>
      </c>
      <c r="D36" s="1296"/>
      <c r="E36" s="382">
        <v>0</v>
      </c>
      <c r="F36" s="297">
        <v>0</v>
      </c>
      <c r="G36" s="297">
        <v>0</v>
      </c>
      <c r="H36" s="297">
        <v>0</v>
      </c>
      <c r="I36" s="297">
        <v>0</v>
      </c>
      <c r="J36" s="297">
        <v>0</v>
      </c>
      <c r="K36" s="297">
        <v>0</v>
      </c>
      <c r="L36" s="748"/>
      <c r="M36" s="382">
        <v>0</v>
      </c>
      <c r="N36" s="297">
        <v>0</v>
      </c>
      <c r="O36" s="297">
        <v>0</v>
      </c>
      <c r="P36" s="297">
        <v>0</v>
      </c>
      <c r="Q36" s="297">
        <v>0</v>
      </c>
      <c r="R36" s="297">
        <v>0</v>
      </c>
      <c r="S36" s="297">
        <v>0</v>
      </c>
      <c r="T36" s="748"/>
      <c r="U36" s="382">
        <v>0</v>
      </c>
      <c r="V36" s="297">
        <v>0</v>
      </c>
      <c r="W36" s="297"/>
      <c r="X36" s="297"/>
      <c r="Y36" s="297"/>
      <c r="Z36" s="297"/>
      <c r="AA36" s="297"/>
      <c r="AB36" s="748"/>
    </row>
    <row r="37" spans="1:28" ht="21.75" customHeight="1">
      <c r="A37" s="107"/>
      <c r="B37" s="112" t="s">
        <v>373</v>
      </c>
      <c r="C37" s="1296" t="s">
        <v>328</v>
      </c>
      <c r="D37" s="1296"/>
      <c r="E37" s="382">
        <f aca="true" t="shared" si="20" ref="E37:J37">SUM(E38:E40)</f>
        <v>41102843</v>
      </c>
      <c r="F37" s="297">
        <f t="shared" si="20"/>
        <v>38014281</v>
      </c>
      <c r="G37" s="297">
        <f t="shared" si="20"/>
        <v>30545686</v>
      </c>
      <c r="H37" s="297">
        <f t="shared" si="20"/>
        <v>24094232</v>
      </c>
      <c r="I37" s="297">
        <f t="shared" si="20"/>
        <v>21695916</v>
      </c>
      <c r="J37" s="297">
        <f t="shared" si="20"/>
        <v>17762035</v>
      </c>
      <c r="K37" s="297">
        <f>SUM(K38:K40)</f>
        <v>17762035</v>
      </c>
      <c r="L37" s="760">
        <f>K37/J37</f>
        <v>1</v>
      </c>
      <c r="M37" s="382">
        <f aca="true" t="shared" si="21" ref="M37:R37">SUM(M38:M40)</f>
        <v>41102843</v>
      </c>
      <c r="N37" s="297">
        <f t="shared" si="21"/>
        <v>38014281</v>
      </c>
      <c r="O37" s="297">
        <f t="shared" si="21"/>
        <v>31306802</v>
      </c>
      <c r="P37" s="297">
        <f t="shared" si="21"/>
        <v>24094232</v>
      </c>
      <c r="Q37" s="297">
        <f t="shared" si="21"/>
        <v>21695916</v>
      </c>
      <c r="R37" s="297">
        <f t="shared" si="21"/>
        <v>17762035</v>
      </c>
      <c r="S37" s="297">
        <f>SUM(S38:S40)</f>
        <v>17762035</v>
      </c>
      <c r="T37" s="760">
        <f>S37/R37</f>
        <v>1</v>
      </c>
      <c r="U37" s="382">
        <v>0</v>
      </c>
      <c r="V37" s="297">
        <v>0</v>
      </c>
      <c r="W37" s="297"/>
      <c r="X37" s="297"/>
      <c r="Y37" s="297"/>
      <c r="Z37" s="297"/>
      <c r="AA37" s="297"/>
      <c r="AB37" s="760"/>
    </row>
    <row r="38" spans="1:28" ht="21.75" customHeight="1">
      <c r="A38" s="107"/>
      <c r="B38" s="112"/>
      <c r="C38" s="109" t="s">
        <v>374</v>
      </c>
      <c r="D38" s="632" t="s">
        <v>35</v>
      </c>
      <c r="E38" s="382">
        <v>7690835</v>
      </c>
      <c r="F38" s="297">
        <v>7690835</v>
      </c>
      <c r="G38" s="297">
        <v>7690835</v>
      </c>
      <c r="H38" s="297">
        <f>7690835</f>
        <v>7690835</v>
      </c>
      <c r="I38" s="297">
        <f>7690835</f>
        <v>7690835</v>
      </c>
      <c r="J38" s="297">
        <v>8253000</v>
      </c>
      <c r="K38" s="297">
        <v>8253000</v>
      </c>
      <c r="L38" s="760">
        <f>K38/J38</f>
        <v>1</v>
      </c>
      <c r="M38" s="382">
        <v>7690835</v>
      </c>
      <c r="N38" s="297">
        <v>7690835</v>
      </c>
      <c r="O38" s="297">
        <v>7690835</v>
      </c>
      <c r="P38" s="301">
        <f>H38</f>
        <v>7690835</v>
      </c>
      <c r="Q38" s="301">
        <f>I38</f>
        <v>7690835</v>
      </c>
      <c r="R38" s="301">
        <f>J38</f>
        <v>8253000</v>
      </c>
      <c r="S38" s="301">
        <f>K38</f>
        <v>8253000</v>
      </c>
      <c r="T38" s="760">
        <f>S38/R38</f>
        <v>1</v>
      </c>
      <c r="U38" s="382">
        <v>0</v>
      </c>
      <c r="V38" s="297">
        <v>0</v>
      </c>
      <c r="W38" s="297"/>
      <c r="X38" s="297"/>
      <c r="Y38" s="297"/>
      <c r="Z38" s="297"/>
      <c r="AA38" s="297"/>
      <c r="AB38" s="760"/>
    </row>
    <row r="39" spans="1:28" ht="21.75" customHeight="1">
      <c r="A39" s="107"/>
      <c r="B39" s="112"/>
      <c r="C39" s="103" t="s">
        <v>375</v>
      </c>
      <c r="D39" s="342" t="s">
        <v>34</v>
      </c>
      <c r="E39" s="382">
        <v>0</v>
      </c>
      <c r="F39" s="297">
        <v>0</v>
      </c>
      <c r="G39" s="297">
        <v>0</v>
      </c>
      <c r="H39" s="297">
        <v>0</v>
      </c>
      <c r="I39" s="297">
        <v>0</v>
      </c>
      <c r="J39" s="297">
        <v>0</v>
      </c>
      <c r="K39" s="297">
        <v>0</v>
      </c>
      <c r="L39" s="748"/>
      <c r="M39" s="382">
        <v>0</v>
      </c>
      <c r="N39" s="297">
        <v>0</v>
      </c>
      <c r="O39" s="297">
        <v>0</v>
      </c>
      <c r="P39" s="297">
        <v>0</v>
      </c>
      <c r="Q39" s="297">
        <v>0</v>
      </c>
      <c r="R39" s="297">
        <v>0</v>
      </c>
      <c r="S39" s="297"/>
      <c r="T39" s="748"/>
      <c r="U39" s="382">
        <v>0</v>
      </c>
      <c r="V39" s="297">
        <v>0</v>
      </c>
      <c r="W39" s="297"/>
      <c r="X39" s="297"/>
      <c r="Y39" s="297"/>
      <c r="Z39" s="297"/>
      <c r="AA39" s="297"/>
      <c r="AB39" s="748"/>
    </row>
    <row r="40" spans="1:28" ht="21.75" customHeight="1" thickBot="1">
      <c r="A40" s="107"/>
      <c r="B40" s="112"/>
      <c r="C40" s="103" t="s">
        <v>376</v>
      </c>
      <c r="D40" s="342" t="s">
        <v>36</v>
      </c>
      <c r="E40" s="576">
        <v>33412008</v>
      </c>
      <c r="F40" s="577">
        <f>33412008-1479698-1608864</f>
        <v>30323446</v>
      </c>
      <c r="G40" s="577">
        <f>33412008-1479698-1608864-7587866+2500+877887-761116</f>
        <v>22854851</v>
      </c>
      <c r="H40" s="577">
        <f>33412008-1479698-1608864-7587866+2500-761116-5573567</f>
        <v>16403397</v>
      </c>
      <c r="I40" s="577">
        <f>33412008-1479698-1608864-7587866+2500-761116-5573567-2398316</f>
        <v>14005081</v>
      </c>
      <c r="J40" s="577">
        <v>9509035</v>
      </c>
      <c r="K40" s="577">
        <v>9509035</v>
      </c>
      <c r="L40" s="760">
        <f>K40/J40</f>
        <v>1</v>
      </c>
      <c r="M40" s="576">
        <v>33412008</v>
      </c>
      <c r="N40" s="577">
        <f>F40</f>
        <v>30323446</v>
      </c>
      <c r="O40" s="577">
        <f>33412008-1479698-1608864-7587866+2500+877887</f>
        <v>23615967</v>
      </c>
      <c r="P40" s="301">
        <f>H40</f>
        <v>16403397</v>
      </c>
      <c r="Q40" s="301">
        <f>I40</f>
        <v>14005081</v>
      </c>
      <c r="R40" s="301">
        <f>J40</f>
        <v>9509035</v>
      </c>
      <c r="S40" s="301">
        <f>K40</f>
        <v>9509035</v>
      </c>
      <c r="T40" s="760">
        <f>S40/R40</f>
        <v>1</v>
      </c>
      <c r="U40" s="576">
        <v>0</v>
      </c>
      <c r="V40" s="577">
        <v>0</v>
      </c>
      <c r="W40" s="577"/>
      <c r="X40" s="577"/>
      <c r="Y40" s="577"/>
      <c r="Z40" s="577"/>
      <c r="AA40" s="577"/>
      <c r="AB40" s="760"/>
    </row>
    <row r="41" spans="1:28" ht="21.75" customHeight="1" thickBot="1">
      <c r="A41" s="114" t="s">
        <v>11</v>
      </c>
      <c r="B41" s="1310" t="s">
        <v>329</v>
      </c>
      <c r="C41" s="1310"/>
      <c r="D41" s="1310"/>
      <c r="E41" s="373">
        <f>SUM(E42:E43)</f>
        <v>6000000</v>
      </c>
      <c r="F41" s="117">
        <f>SUM(F42:F43)</f>
        <v>6000000</v>
      </c>
      <c r="G41" s="117">
        <f>SUM(G42:G43)</f>
        <v>6000000</v>
      </c>
      <c r="H41" s="117">
        <f>H42+H43+H47</f>
        <v>7500000</v>
      </c>
      <c r="I41" s="117">
        <f>I42+I43+I47</f>
        <v>7500000</v>
      </c>
      <c r="J41" s="117">
        <f>J42+J43+J47</f>
        <v>7500000</v>
      </c>
      <c r="K41" s="117">
        <f>K42+K43+K47</f>
        <v>7500000</v>
      </c>
      <c r="L41" s="758">
        <f>K41/J41</f>
        <v>1</v>
      </c>
      <c r="M41" s="373">
        <f>SUM(M42:M43)</f>
        <v>6000000</v>
      </c>
      <c r="N41" s="117">
        <f>SUM(N42:N43)</f>
        <v>6000000</v>
      </c>
      <c r="O41" s="117">
        <f>SUM(O42:O43)</f>
        <v>6000000</v>
      </c>
      <c r="P41" s="117">
        <f>P42+P43+P47</f>
        <v>6000000</v>
      </c>
      <c r="Q41" s="117">
        <f>Q42+Q43+Q47</f>
        <v>6000000</v>
      </c>
      <c r="R41" s="117">
        <f>R42+R43+R47</f>
        <v>6000000</v>
      </c>
      <c r="S41" s="117">
        <f>S42+S43+S47</f>
        <v>6000000</v>
      </c>
      <c r="T41" s="758">
        <f>S41/R41</f>
        <v>1</v>
      </c>
      <c r="U41" s="373">
        <f>SUM(U42:U43)</f>
        <v>0</v>
      </c>
      <c r="V41" s="117">
        <f>SUM(V42:V43)</f>
        <v>0</v>
      </c>
      <c r="W41" s="117">
        <f>SUM(W42:W43)</f>
        <v>0</v>
      </c>
      <c r="X41" s="117">
        <f>X42+X43+X47</f>
        <v>1500000</v>
      </c>
      <c r="Y41" s="117">
        <f>Y42+Y43+Y47</f>
        <v>1500000</v>
      </c>
      <c r="Z41" s="117">
        <f>Z42+Z43+Z47</f>
        <v>1500000</v>
      </c>
      <c r="AA41" s="117">
        <f>AA42+AA43+AA47</f>
        <v>1500000</v>
      </c>
      <c r="AB41" s="758">
        <f>AA41/Z41</f>
        <v>1</v>
      </c>
    </row>
    <row r="42" spans="1:28" ht="21.75" customHeight="1">
      <c r="A42" s="108"/>
      <c r="B42" s="115" t="s">
        <v>330</v>
      </c>
      <c r="C42" s="1308" t="s">
        <v>332</v>
      </c>
      <c r="D42" s="1308"/>
      <c r="E42" s="381">
        <v>0</v>
      </c>
      <c r="F42" s="974">
        <v>0</v>
      </c>
      <c r="G42" s="974">
        <v>0</v>
      </c>
      <c r="H42" s="974">
        <v>0</v>
      </c>
      <c r="I42" s="974">
        <v>0</v>
      </c>
      <c r="J42" s="974">
        <v>0</v>
      </c>
      <c r="K42" s="974">
        <v>0</v>
      </c>
      <c r="L42" s="768"/>
      <c r="M42" s="381">
        <v>0</v>
      </c>
      <c r="N42" s="974">
        <v>0</v>
      </c>
      <c r="O42" s="974">
        <v>0</v>
      </c>
      <c r="P42" s="974">
        <v>0</v>
      </c>
      <c r="Q42" s="974">
        <v>0</v>
      </c>
      <c r="R42" s="974">
        <v>0</v>
      </c>
      <c r="S42" s="974"/>
      <c r="T42" s="768"/>
      <c r="U42" s="381">
        <v>0</v>
      </c>
      <c r="V42" s="974">
        <v>0</v>
      </c>
      <c r="W42" s="974"/>
      <c r="X42" s="974"/>
      <c r="Y42" s="974"/>
      <c r="Z42" s="974"/>
      <c r="AA42" s="974"/>
      <c r="AB42" s="768"/>
    </row>
    <row r="43" spans="1:28" ht="21.75" customHeight="1">
      <c r="A43" s="107"/>
      <c r="B43" s="104" t="s">
        <v>331</v>
      </c>
      <c r="C43" s="1296" t="s">
        <v>333</v>
      </c>
      <c r="D43" s="1296"/>
      <c r="E43" s="382">
        <f aca="true" t="shared" si="22" ref="E43:J43">SUM(E44:E46)</f>
        <v>6000000</v>
      </c>
      <c r="F43" s="297">
        <f t="shared" si="22"/>
        <v>6000000</v>
      </c>
      <c r="G43" s="297">
        <f t="shared" si="22"/>
        <v>6000000</v>
      </c>
      <c r="H43" s="297">
        <f t="shared" si="22"/>
        <v>6000000</v>
      </c>
      <c r="I43" s="297">
        <f t="shared" si="22"/>
        <v>6000000</v>
      </c>
      <c r="J43" s="297">
        <f t="shared" si="22"/>
        <v>6000000</v>
      </c>
      <c r="K43" s="297">
        <f>SUM(K44:K46)</f>
        <v>6000000</v>
      </c>
      <c r="L43" s="760">
        <f>K43/J43</f>
        <v>1</v>
      </c>
      <c r="M43" s="382">
        <f aca="true" t="shared" si="23" ref="M43:Z43">SUM(M44:M46)</f>
        <v>6000000</v>
      </c>
      <c r="N43" s="297">
        <f t="shared" si="23"/>
        <v>6000000</v>
      </c>
      <c r="O43" s="297">
        <f t="shared" si="23"/>
        <v>6000000</v>
      </c>
      <c r="P43" s="297">
        <f t="shared" si="23"/>
        <v>6000000</v>
      </c>
      <c r="Q43" s="297">
        <f t="shared" si="23"/>
        <v>6000000</v>
      </c>
      <c r="R43" s="297">
        <f t="shared" si="23"/>
        <v>6000000</v>
      </c>
      <c r="S43" s="297">
        <f>SUM(S44:S46)</f>
        <v>6000000</v>
      </c>
      <c r="T43" s="760">
        <f>S43/R43</f>
        <v>1</v>
      </c>
      <c r="U43" s="382">
        <f t="shared" si="23"/>
        <v>0</v>
      </c>
      <c r="V43" s="297">
        <f t="shared" si="23"/>
        <v>0</v>
      </c>
      <c r="W43" s="297">
        <f t="shared" si="23"/>
        <v>0</v>
      </c>
      <c r="X43" s="297">
        <f t="shared" si="23"/>
        <v>0</v>
      </c>
      <c r="Y43" s="297">
        <f t="shared" si="23"/>
        <v>0</v>
      </c>
      <c r="Z43" s="297">
        <f t="shared" si="23"/>
        <v>0</v>
      </c>
      <c r="AA43" s="297">
        <f>SUM(AA44:AA46)</f>
        <v>0</v>
      </c>
      <c r="AB43" s="760"/>
    </row>
    <row r="44" spans="1:28" ht="21.75" customHeight="1">
      <c r="A44" s="107"/>
      <c r="B44" s="115"/>
      <c r="C44" s="109" t="s">
        <v>334</v>
      </c>
      <c r="D44" s="632" t="s">
        <v>35</v>
      </c>
      <c r="E44" s="382">
        <v>0</v>
      </c>
      <c r="F44" s="297">
        <v>0</v>
      </c>
      <c r="G44" s="297">
        <v>0</v>
      </c>
      <c r="H44" s="297">
        <v>0</v>
      </c>
      <c r="I44" s="297">
        <v>0</v>
      </c>
      <c r="J44" s="297">
        <v>0</v>
      </c>
      <c r="K44" s="297">
        <v>0</v>
      </c>
      <c r="L44" s="748"/>
      <c r="M44" s="382">
        <v>0</v>
      </c>
      <c r="N44" s="297">
        <v>0</v>
      </c>
      <c r="O44" s="297">
        <v>0</v>
      </c>
      <c r="P44" s="297">
        <v>0</v>
      </c>
      <c r="Q44" s="297">
        <v>0</v>
      </c>
      <c r="R44" s="297">
        <v>0</v>
      </c>
      <c r="S44" s="297">
        <v>0</v>
      </c>
      <c r="T44" s="748"/>
      <c r="U44" s="382">
        <v>0</v>
      </c>
      <c r="V44" s="297">
        <v>0</v>
      </c>
      <c r="W44" s="297"/>
      <c r="X44" s="297"/>
      <c r="Y44" s="297"/>
      <c r="Z44" s="297"/>
      <c r="AA44" s="297"/>
      <c r="AB44" s="748"/>
    </row>
    <row r="45" spans="1:28" ht="21.75" customHeight="1">
      <c r="A45" s="107"/>
      <c r="B45" s="104"/>
      <c r="C45" s="103" t="s">
        <v>335</v>
      </c>
      <c r="D45" s="632" t="s">
        <v>34</v>
      </c>
      <c r="E45" s="382">
        <v>0</v>
      </c>
      <c r="F45" s="297">
        <v>0</v>
      </c>
      <c r="G45" s="297">
        <v>0</v>
      </c>
      <c r="H45" s="297">
        <v>0</v>
      </c>
      <c r="I45" s="297">
        <v>0</v>
      </c>
      <c r="J45" s="297">
        <v>0</v>
      </c>
      <c r="K45" s="297">
        <v>0</v>
      </c>
      <c r="L45" s="760"/>
      <c r="M45" s="382">
        <v>0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97">
        <v>0</v>
      </c>
      <c r="T45" s="760"/>
      <c r="U45" s="382">
        <v>0</v>
      </c>
      <c r="V45" s="297">
        <v>0</v>
      </c>
      <c r="W45" s="297"/>
      <c r="X45" s="297"/>
      <c r="Y45" s="297"/>
      <c r="Z45" s="297"/>
      <c r="AA45" s="297"/>
      <c r="AB45" s="760"/>
    </row>
    <row r="46" spans="1:28" ht="21.75" customHeight="1">
      <c r="A46" s="111"/>
      <c r="B46" s="115"/>
      <c r="C46" s="109" t="s">
        <v>336</v>
      </c>
      <c r="D46" s="632" t="s">
        <v>337</v>
      </c>
      <c r="E46" s="382">
        <v>6000000</v>
      </c>
      <c r="F46" s="297">
        <v>6000000</v>
      </c>
      <c r="G46" s="297">
        <v>6000000</v>
      </c>
      <c r="H46" s="297">
        <v>6000000</v>
      </c>
      <c r="I46" s="297">
        <v>6000000</v>
      </c>
      <c r="J46" s="297">
        <v>6000000</v>
      </c>
      <c r="K46" s="297">
        <v>6000000</v>
      </c>
      <c r="L46" s="760">
        <f>K46/J46</f>
        <v>1</v>
      </c>
      <c r="M46" s="382">
        <v>6000000</v>
      </c>
      <c r="N46" s="297">
        <v>6000000</v>
      </c>
      <c r="O46" s="297">
        <v>6000000</v>
      </c>
      <c r="P46" s="297">
        <v>6000000</v>
      </c>
      <c r="Q46" s="297">
        <v>6000000</v>
      </c>
      <c r="R46" s="297">
        <v>6000000</v>
      </c>
      <c r="S46" s="297">
        <v>6000000</v>
      </c>
      <c r="T46" s="760">
        <f>S46/R46</f>
        <v>1</v>
      </c>
      <c r="U46" s="382">
        <v>0</v>
      </c>
      <c r="V46" s="297">
        <v>0</v>
      </c>
      <c r="W46" s="297"/>
      <c r="X46" s="297"/>
      <c r="Y46" s="297"/>
      <c r="Z46" s="297"/>
      <c r="AA46" s="297"/>
      <c r="AB46" s="760"/>
    </row>
    <row r="47" spans="1:28" ht="21.75" customHeight="1" thickBot="1">
      <c r="A47" s="388"/>
      <c r="B47" s="104" t="s">
        <v>363</v>
      </c>
      <c r="C47" s="1296" t="s">
        <v>565</v>
      </c>
      <c r="D47" s="1296"/>
      <c r="E47" s="382">
        <v>0</v>
      </c>
      <c r="F47" s="297">
        <v>0</v>
      </c>
      <c r="G47" s="297">
        <v>0</v>
      </c>
      <c r="H47" s="297">
        <v>1500000</v>
      </c>
      <c r="I47" s="297">
        <v>1500000</v>
      </c>
      <c r="J47" s="297">
        <v>1500000</v>
      </c>
      <c r="K47" s="297">
        <v>1500000</v>
      </c>
      <c r="L47" s="760">
        <f>K47/J47</f>
        <v>1</v>
      </c>
      <c r="M47" s="382">
        <v>0</v>
      </c>
      <c r="N47" s="297">
        <v>0</v>
      </c>
      <c r="O47" s="297">
        <v>0</v>
      </c>
      <c r="P47" s="301">
        <f>H47-X47</f>
        <v>0</v>
      </c>
      <c r="Q47" s="301">
        <f>I47-Y47</f>
        <v>0</v>
      </c>
      <c r="R47" s="301">
        <f>J47-Z47</f>
        <v>0</v>
      </c>
      <c r="S47" s="301">
        <f>K47-AA47</f>
        <v>0</v>
      </c>
      <c r="T47" s="760"/>
      <c r="U47" s="382">
        <v>0</v>
      </c>
      <c r="V47" s="297">
        <v>0</v>
      </c>
      <c r="W47" s="297"/>
      <c r="X47" s="297">
        <f>H47</f>
        <v>1500000</v>
      </c>
      <c r="Y47" s="297">
        <f>I47</f>
        <v>1500000</v>
      </c>
      <c r="Z47" s="297">
        <f>J47</f>
        <v>1500000</v>
      </c>
      <c r="AA47" s="297">
        <f>K47</f>
        <v>1500000</v>
      </c>
      <c r="AB47" s="760">
        <f>AA47/Z47</f>
        <v>1</v>
      </c>
    </row>
    <row r="48" spans="1:28" ht="21.75" customHeight="1" hidden="1" thickBot="1">
      <c r="A48" s="388"/>
      <c r="B48" s="115"/>
      <c r="C48" s="1304"/>
      <c r="D48" s="1304"/>
      <c r="E48" s="576"/>
      <c r="F48" s="577"/>
      <c r="G48" s="577"/>
      <c r="H48" s="577"/>
      <c r="I48" s="577"/>
      <c r="J48" s="577"/>
      <c r="K48" s="577"/>
      <c r="L48" s="749" t="e">
        <f>I48/H48</f>
        <v>#DIV/0!</v>
      </c>
      <c r="M48" s="576"/>
      <c r="N48" s="577"/>
      <c r="O48" s="577"/>
      <c r="P48" s="577"/>
      <c r="Q48" s="577"/>
      <c r="R48" s="577"/>
      <c r="S48" s="577"/>
      <c r="T48" s="749" t="e">
        <f>Q48/P48</f>
        <v>#DIV/0!</v>
      </c>
      <c r="U48" s="576"/>
      <c r="V48" s="577"/>
      <c r="W48" s="577"/>
      <c r="X48" s="577"/>
      <c r="Y48" s="577"/>
      <c r="Z48" s="577"/>
      <c r="AA48" s="577"/>
      <c r="AB48" s="749" t="e">
        <f>Y48/X48</f>
        <v>#DIV/0!</v>
      </c>
    </row>
    <row r="49" spans="1:28" ht="21.75" customHeight="1" thickBot="1">
      <c r="A49" s="114" t="s">
        <v>12</v>
      </c>
      <c r="B49" s="1300" t="s">
        <v>78</v>
      </c>
      <c r="C49" s="1300"/>
      <c r="D49" s="1300"/>
      <c r="E49" s="373">
        <f aca="true" t="shared" si="24" ref="E49:J49">E50+E51</f>
        <v>60000</v>
      </c>
      <c r="F49" s="117">
        <f t="shared" si="24"/>
        <v>60000</v>
      </c>
      <c r="G49" s="117">
        <f t="shared" si="24"/>
        <v>360000</v>
      </c>
      <c r="H49" s="117">
        <f t="shared" si="24"/>
        <v>4898034</v>
      </c>
      <c r="I49" s="117">
        <f t="shared" si="24"/>
        <v>4924034</v>
      </c>
      <c r="J49" s="117">
        <f t="shared" si="24"/>
        <v>8517167</v>
      </c>
      <c r="K49" s="117">
        <f>K50+K51</f>
        <v>8517167</v>
      </c>
      <c r="L49" s="758">
        <f>K49/J49</f>
        <v>1</v>
      </c>
      <c r="M49" s="373">
        <f aca="true" t="shared" si="25" ref="M49:Z49">M50+M51</f>
        <v>60000</v>
      </c>
      <c r="N49" s="117">
        <f t="shared" si="25"/>
        <v>60000</v>
      </c>
      <c r="O49" s="117">
        <f t="shared" si="25"/>
        <v>360000</v>
      </c>
      <c r="P49" s="117">
        <f t="shared" si="25"/>
        <v>4898034</v>
      </c>
      <c r="Q49" s="117">
        <f t="shared" si="25"/>
        <v>4924034</v>
      </c>
      <c r="R49" s="117">
        <f t="shared" si="25"/>
        <v>8517167</v>
      </c>
      <c r="S49" s="117">
        <f>S50+S51</f>
        <v>8517167</v>
      </c>
      <c r="T49" s="758">
        <f>S49/R49</f>
        <v>1</v>
      </c>
      <c r="U49" s="373">
        <f t="shared" si="25"/>
        <v>0</v>
      </c>
      <c r="V49" s="117">
        <f t="shared" si="25"/>
        <v>0</v>
      </c>
      <c r="W49" s="117">
        <f t="shared" si="25"/>
        <v>0</v>
      </c>
      <c r="X49" s="117">
        <f t="shared" si="25"/>
        <v>0</v>
      </c>
      <c r="Y49" s="117">
        <f t="shared" si="25"/>
        <v>0</v>
      </c>
      <c r="Z49" s="117">
        <f t="shared" si="25"/>
        <v>0</v>
      </c>
      <c r="AA49" s="117">
        <f>AA50+AA51</f>
        <v>0</v>
      </c>
      <c r="AB49" s="758"/>
    </row>
    <row r="50" spans="1:28" s="958" customFormat="1" ht="21.75" customHeight="1">
      <c r="A50" s="957"/>
      <c r="B50" s="115" t="s">
        <v>46</v>
      </c>
      <c r="C50" s="1308" t="s">
        <v>350</v>
      </c>
      <c r="D50" s="1308"/>
      <c r="E50" s="381">
        <v>60000</v>
      </c>
      <c r="F50" s="974">
        <v>60000</v>
      </c>
      <c r="G50" s="974">
        <v>60000</v>
      </c>
      <c r="H50" s="974">
        <f>60000+200000</f>
        <v>260000</v>
      </c>
      <c r="I50" s="974">
        <f>60000+200000</f>
        <v>260000</v>
      </c>
      <c r="J50" s="974">
        <f>60000+200000</f>
        <v>260000</v>
      </c>
      <c r="K50" s="974">
        <f>60000+200000</f>
        <v>260000</v>
      </c>
      <c r="L50" s="760">
        <f>K50/J50</f>
        <v>1</v>
      </c>
      <c r="M50" s="381">
        <v>60000</v>
      </c>
      <c r="N50" s="974">
        <v>60000</v>
      </c>
      <c r="O50" s="974">
        <v>60000</v>
      </c>
      <c r="P50" s="301">
        <f aca="true" t="shared" si="26" ref="P50:S51">H50</f>
        <v>260000</v>
      </c>
      <c r="Q50" s="301">
        <f t="shared" si="26"/>
        <v>260000</v>
      </c>
      <c r="R50" s="301">
        <f t="shared" si="26"/>
        <v>260000</v>
      </c>
      <c r="S50" s="301">
        <f t="shared" si="26"/>
        <v>260000</v>
      </c>
      <c r="T50" s="760">
        <f>S50/R50</f>
        <v>1</v>
      </c>
      <c r="U50" s="381">
        <v>0</v>
      </c>
      <c r="V50" s="974">
        <v>0</v>
      </c>
      <c r="W50" s="974"/>
      <c r="X50" s="974"/>
      <c r="Y50" s="974"/>
      <c r="Z50" s="974"/>
      <c r="AA50" s="974"/>
      <c r="AB50" s="760"/>
    </row>
    <row r="51" spans="1:28" s="958" customFormat="1" ht="21.75" customHeight="1" thickBot="1">
      <c r="A51" s="107"/>
      <c r="B51" s="103" t="s">
        <v>47</v>
      </c>
      <c r="C51" s="1296" t="s">
        <v>544</v>
      </c>
      <c r="D51" s="1296"/>
      <c r="E51" s="364">
        <v>0</v>
      </c>
      <c r="F51" s="298">
        <v>0</v>
      </c>
      <c r="G51" s="298">
        <v>300000</v>
      </c>
      <c r="H51" s="298">
        <f>300000+4338034</f>
        <v>4638034</v>
      </c>
      <c r="I51" s="298">
        <f>300000+4338034+26000</f>
        <v>4664034</v>
      </c>
      <c r="J51" s="298">
        <v>8257167</v>
      </c>
      <c r="K51" s="298">
        <v>8257167</v>
      </c>
      <c r="L51" s="760">
        <f>K51/J51</f>
        <v>1</v>
      </c>
      <c r="M51" s="364">
        <v>0</v>
      </c>
      <c r="N51" s="298">
        <v>0</v>
      </c>
      <c r="O51" s="298">
        <v>300000</v>
      </c>
      <c r="P51" s="301">
        <f t="shared" si="26"/>
        <v>4638034</v>
      </c>
      <c r="Q51" s="301">
        <f t="shared" si="26"/>
        <v>4664034</v>
      </c>
      <c r="R51" s="301">
        <f t="shared" si="26"/>
        <v>8257167</v>
      </c>
      <c r="S51" s="301">
        <f t="shared" si="26"/>
        <v>8257167</v>
      </c>
      <c r="T51" s="760">
        <f>S51/R51</f>
        <v>1</v>
      </c>
      <c r="U51" s="364">
        <v>0</v>
      </c>
      <c r="V51" s="298">
        <v>0</v>
      </c>
      <c r="W51" s="298"/>
      <c r="X51" s="298"/>
      <c r="Y51" s="298"/>
      <c r="Z51" s="298"/>
      <c r="AA51" s="298"/>
      <c r="AB51" s="760"/>
    </row>
    <row r="52" spans="1:28" ht="21.75" customHeight="1" thickBot="1">
      <c r="A52" s="114" t="s">
        <v>13</v>
      </c>
      <c r="B52" s="1300" t="s">
        <v>338</v>
      </c>
      <c r="C52" s="1300"/>
      <c r="D52" s="1300"/>
      <c r="E52" s="368">
        <f aca="true" t="shared" si="27" ref="E52:J52">SUM(E53:E54)</f>
        <v>0</v>
      </c>
      <c r="F52" s="299">
        <f t="shared" si="27"/>
        <v>0</v>
      </c>
      <c r="G52" s="299">
        <f t="shared" si="27"/>
        <v>4115</v>
      </c>
      <c r="H52" s="299">
        <f t="shared" si="27"/>
        <v>10004115</v>
      </c>
      <c r="I52" s="299">
        <f t="shared" si="27"/>
        <v>10004115</v>
      </c>
      <c r="J52" s="299">
        <f t="shared" si="27"/>
        <v>10004115</v>
      </c>
      <c r="K52" s="299">
        <f>SUM(K53:K54)</f>
        <v>10004115</v>
      </c>
      <c r="L52" s="758">
        <f>K52/J52</f>
        <v>1</v>
      </c>
      <c r="M52" s="368">
        <f aca="true" t="shared" si="28" ref="M52:Z52">SUM(M53:M54)</f>
        <v>0</v>
      </c>
      <c r="N52" s="299">
        <f t="shared" si="28"/>
        <v>0</v>
      </c>
      <c r="O52" s="299">
        <f t="shared" si="28"/>
        <v>4115</v>
      </c>
      <c r="P52" s="299">
        <f t="shared" si="28"/>
        <v>10004115</v>
      </c>
      <c r="Q52" s="299">
        <f t="shared" si="28"/>
        <v>10004115</v>
      </c>
      <c r="R52" s="299">
        <f t="shared" si="28"/>
        <v>10004115</v>
      </c>
      <c r="S52" s="299">
        <f>SUM(S53:S54)</f>
        <v>10004115</v>
      </c>
      <c r="T52" s="758">
        <f>S52/R52</f>
        <v>1</v>
      </c>
      <c r="U52" s="368">
        <f t="shared" si="28"/>
        <v>0</v>
      </c>
      <c r="V52" s="299">
        <f t="shared" si="28"/>
        <v>0</v>
      </c>
      <c r="W52" s="299">
        <f t="shared" si="28"/>
        <v>0</v>
      </c>
      <c r="X52" s="299">
        <f t="shared" si="28"/>
        <v>0</v>
      </c>
      <c r="Y52" s="299">
        <f t="shared" si="28"/>
        <v>0</v>
      </c>
      <c r="Z52" s="299">
        <f t="shared" si="28"/>
        <v>0</v>
      </c>
      <c r="AA52" s="299">
        <f>SUM(AA53:AA54)</f>
        <v>0</v>
      </c>
      <c r="AB52" s="758"/>
    </row>
    <row r="53" spans="1:28" s="7" customFormat="1" ht="21.75" customHeight="1">
      <c r="A53" s="116"/>
      <c r="B53" s="109" t="s">
        <v>48</v>
      </c>
      <c r="C53" s="1308" t="s">
        <v>340</v>
      </c>
      <c r="D53" s="1308"/>
      <c r="E53" s="369">
        <v>0</v>
      </c>
      <c r="F53" s="301">
        <v>0</v>
      </c>
      <c r="G53" s="301">
        <v>4115</v>
      </c>
      <c r="H53" s="301">
        <f>4115+10000000</f>
        <v>10004115</v>
      </c>
      <c r="I53" s="301">
        <f>4115+10000000</f>
        <v>10004115</v>
      </c>
      <c r="J53" s="301">
        <f>4115+10000000</f>
        <v>10004115</v>
      </c>
      <c r="K53" s="301">
        <f>4115+10000000</f>
        <v>10004115</v>
      </c>
      <c r="L53" s="760">
        <f>K53/J53</f>
        <v>1</v>
      </c>
      <c r="M53" s="369">
        <v>0</v>
      </c>
      <c r="N53" s="301">
        <v>0</v>
      </c>
      <c r="O53" s="301">
        <v>4115</v>
      </c>
      <c r="P53" s="301">
        <f>H53</f>
        <v>10004115</v>
      </c>
      <c r="Q53" s="301">
        <f>I53</f>
        <v>10004115</v>
      </c>
      <c r="R53" s="301">
        <f>J53</f>
        <v>10004115</v>
      </c>
      <c r="S53" s="301">
        <f>K53</f>
        <v>10004115</v>
      </c>
      <c r="T53" s="760">
        <f>S53/R53</f>
        <v>1</v>
      </c>
      <c r="U53" s="369">
        <v>0</v>
      </c>
      <c r="V53" s="301">
        <v>0</v>
      </c>
      <c r="W53" s="301"/>
      <c r="X53" s="301"/>
      <c r="Y53" s="301"/>
      <c r="Z53" s="301"/>
      <c r="AA53" s="301"/>
      <c r="AB53" s="760"/>
    </row>
    <row r="54" spans="1:28" ht="21.75" customHeight="1" thickBot="1">
      <c r="A54" s="111"/>
      <c r="B54" s="112" t="s">
        <v>339</v>
      </c>
      <c r="C54" s="1301" t="s">
        <v>341</v>
      </c>
      <c r="D54" s="1301"/>
      <c r="E54" s="383">
        <v>0</v>
      </c>
      <c r="F54" s="384">
        <v>0</v>
      </c>
      <c r="G54" s="384">
        <v>0</v>
      </c>
      <c r="H54" s="384">
        <v>0</v>
      </c>
      <c r="I54" s="384">
        <v>0</v>
      </c>
      <c r="J54" s="384">
        <v>0</v>
      </c>
      <c r="K54" s="384">
        <v>0</v>
      </c>
      <c r="L54" s="772"/>
      <c r="M54" s="383">
        <v>0</v>
      </c>
      <c r="N54" s="384">
        <v>0</v>
      </c>
      <c r="O54" s="384">
        <v>0</v>
      </c>
      <c r="P54" s="384">
        <v>0</v>
      </c>
      <c r="Q54" s="384">
        <v>0</v>
      </c>
      <c r="R54" s="384">
        <v>0</v>
      </c>
      <c r="S54" s="384"/>
      <c r="T54" s="772"/>
      <c r="U54" s="383">
        <v>0</v>
      </c>
      <c r="V54" s="384">
        <v>0</v>
      </c>
      <c r="W54" s="384"/>
      <c r="X54" s="384"/>
      <c r="Y54" s="384"/>
      <c r="Z54" s="384"/>
      <c r="AA54" s="384"/>
      <c r="AB54" s="772"/>
    </row>
    <row r="55" spans="1:28" ht="21.75" customHeight="1" thickBot="1">
      <c r="A55" s="114" t="s">
        <v>14</v>
      </c>
      <c r="B55" s="1309" t="s">
        <v>80</v>
      </c>
      <c r="C55" s="1309"/>
      <c r="D55" s="1309"/>
      <c r="E55" s="368">
        <f aca="true" t="shared" si="29" ref="E55:J55">E7+E21+E41+E49+E52+E32</f>
        <v>433344951</v>
      </c>
      <c r="F55" s="299">
        <f t="shared" si="29"/>
        <v>433344951</v>
      </c>
      <c r="G55" s="299">
        <f t="shared" si="29"/>
        <v>436366021</v>
      </c>
      <c r="H55" s="299">
        <f t="shared" si="29"/>
        <v>452746249</v>
      </c>
      <c r="I55" s="299">
        <f t="shared" si="29"/>
        <v>452964496</v>
      </c>
      <c r="J55" s="299">
        <f t="shared" si="29"/>
        <v>499084187</v>
      </c>
      <c r="K55" s="299">
        <f>K7+K21+K41+K49+K52+K32</f>
        <v>488901905</v>
      </c>
      <c r="L55" s="758">
        <f aca="true" t="shared" si="30" ref="L55:L60">K55/J55</f>
        <v>0.9795980672895974</v>
      </c>
      <c r="M55" s="368">
        <f aca="true" t="shared" si="31" ref="M55:Z55">M7+M21+M41+M49+M52+M32</f>
        <v>412697158</v>
      </c>
      <c r="N55" s="299">
        <f t="shared" si="31"/>
        <v>412697158</v>
      </c>
      <c r="O55" s="299">
        <f t="shared" si="31"/>
        <v>415708228</v>
      </c>
      <c r="P55" s="299">
        <f t="shared" si="31"/>
        <v>430358456</v>
      </c>
      <c r="Q55" s="299">
        <f t="shared" si="31"/>
        <v>430576703</v>
      </c>
      <c r="R55" s="299">
        <f t="shared" si="31"/>
        <v>476483854</v>
      </c>
      <c r="S55" s="299">
        <f>S7+S21+S41+S49+S52+S32</f>
        <v>466301572</v>
      </c>
      <c r="T55" s="758">
        <f aca="true" t="shared" si="32" ref="T55:T60">S55/R55</f>
        <v>0.9786303734858558</v>
      </c>
      <c r="U55" s="368">
        <f t="shared" si="31"/>
        <v>20647793</v>
      </c>
      <c r="V55" s="299">
        <f t="shared" si="31"/>
        <v>20647793</v>
      </c>
      <c r="W55" s="299">
        <f t="shared" si="31"/>
        <v>20657793</v>
      </c>
      <c r="X55" s="299">
        <f t="shared" si="31"/>
        <v>22387793</v>
      </c>
      <c r="Y55" s="299">
        <f t="shared" si="31"/>
        <v>22387793</v>
      </c>
      <c r="Z55" s="299">
        <f t="shared" si="31"/>
        <v>22600333</v>
      </c>
      <c r="AA55" s="299">
        <f>AA7+AA21+AA41+AA49+AA52+AA32</f>
        <v>22600333</v>
      </c>
      <c r="AB55" s="758">
        <f>AA55/Z55</f>
        <v>1</v>
      </c>
    </row>
    <row r="56" spans="1:28" ht="24" customHeight="1" thickBot="1">
      <c r="A56" s="110" t="s">
        <v>61</v>
      </c>
      <c r="B56" s="1300" t="s">
        <v>342</v>
      </c>
      <c r="C56" s="1300"/>
      <c r="D56" s="1300"/>
      <c r="E56" s="368">
        <f aca="true" t="shared" si="33" ref="E56:J56">SUM(E57:E59)</f>
        <v>149687964</v>
      </c>
      <c r="F56" s="299">
        <f t="shared" si="33"/>
        <v>149687964</v>
      </c>
      <c r="G56" s="299">
        <f t="shared" si="33"/>
        <v>146002158</v>
      </c>
      <c r="H56" s="299">
        <f t="shared" si="33"/>
        <v>146002158</v>
      </c>
      <c r="I56" s="299">
        <f t="shared" si="33"/>
        <v>146002158</v>
      </c>
      <c r="J56" s="299">
        <f t="shared" si="33"/>
        <v>154124577</v>
      </c>
      <c r="K56" s="299">
        <f>SUM(K57:K59)</f>
        <v>154124577</v>
      </c>
      <c r="L56" s="758">
        <f t="shared" si="30"/>
        <v>1</v>
      </c>
      <c r="M56" s="368">
        <f aca="true" t="shared" si="34" ref="M56:Z56">SUM(M57:M59)</f>
        <v>149687964</v>
      </c>
      <c r="N56" s="299">
        <f t="shared" si="34"/>
        <v>149687964</v>
      </c>
      <c r="O56" s="299">
        <f t="shared" si="34"/>
        <v>146002158</v>
      </c>
      <c r="P56" s="299">
        <f t="shared" si="34"/>
        <v>146002158</v>
      </c>
      <c r="Q56" s="299">
        <f t="shared" si="34"/>
        <v>146002158</v>
      </c>
      <c r="R56" s="299">
        <f t="shared" si="34"/>
        <v>154124577</v>
      </c>
      <c r="S56" s="299">
        <f>SUM(S57:S59)</f>
        <v>154124577</v>
      </c>
      <c r="T56" s="758">
        <f t="shared" si="32"/>
        <v>1</v>
      </c>
      <c r="U56" s="368">
        <f t="shared" si="34"/>
        <v>0</v>
      </c>
      <c r="V56" s="299">
        <f t="shared" si="34"/>
        <v>0</v>
      </c>
      <c r="W56" s="299">
        <f t="shared" si="34"/>
        <v>0</v>
      </c>
      <c r="X56" s="299">
        <f t="shared" si="34"/>
        <v>0</v>
      </c>
      <c r="Y56" s="299">
        <f t="shared" si="34"/>
        <v>0</v>
      </c>
      <c r="Z56" s="299">
        <f t="shared" si="34"/>
        <v>0</v>
      </c>
      <c r="AA56" s="299">
        <f>SUM(AA57:AA59)</f>
        <v>0</v>
      </c>
      <c r="AB56" s="758"/>
    </row>
    <row r="57" spans="1:28" ht="21.75" customHeight="1">
      <c r="A57" s="108"/>
      <c r="B57" s="109" t="s">
        <v>49</v>
      </c>
      <c r="C57" s="1308" t="s">
        <v>343</v>
      </c>
      <c r="D57" s="1308"/>
      <c r="E57" s="369">
        <v>12000000</v>
      </c>
      <c r="F57" s="301">
        <v>12000000</v>
      </c>
      <c r="G57" s="301">
        <f>12000000-3684719</f>
        <v>8315281</v>
      </c>
      <c r="H57" s="301">
        <f>12000000-3684719</f>
        <v>8315281</v>
      </c>
      <c r="I57" s="301">
        <f>12000000-3684719</f>
        <v>8315281</v>
      </c>
      <c r="J57" s="301">
        <f>12000000-3684719</f>
        <v>8315281</v>
      </c>
      <c r="K57" s="301">
        <f>12000000-3684719</f>
        <v>8315281</v>
      </c>
      <c r="L57" s="760">
        <f t="shared" si="30"/>
        <v>1</v>
      </c>
      <c r="M57" s="369">
        <v>12000000</v>
      </c>
      <c r="N57" s="301">
        <v>12000000</v>
      </c>
      <c r="O57" s="301">
        <f>12000000-3684719</f>
        <v>8315281</v>
      </c>
      <c r="P57" s="301">
        <f>H57</f>
        <v>8315281</v>
      </c>
      <c r="Q57" s="301">
        <f>I57</f>
        <v>8315281</v>
      </c>
      <c r="R57" s="301">
        <f>J57</f>
        <v>8315281</v>
      </c>
      <c r="S57" s="301">
        <f>K57</f>
        <v>8315281</v>
      </c>
      <c r="T57" s="760">
        <f t="shared" si="32"/>
        <v>1</v>
      </c>
      <c r="U57" s="369">
        <v>0</v>
      </c>
      <c r="V57" s="301">
        <v>0</v>
      </c>
      <c r="W57" s="301"/>
      <c r="X57" s="301"/>
      <c r="Y57" s="301"/>
      <c r="Z57" s="301"/>
      <c r="AA57" s="301"/>
      <c r="AB57" s="760"/>
    </row>
    <row r="58" spans="1:28" ht="21.75" customHeight="1">
      <c r="A58" s="107"/>
      <c r="B58" s="104" t="s">
        <v>50</v>
      </c>
      <c r="C58" s="1308" t="s">
        <v>494</v>
      </c>
      <c r="D58" s="1308"/>
      <c r="E58" s="364"/>
      <c r="F58" s="298"/>
      <c r="G58" s="298"/>
      <c r="H58" s="298"/>
      <c r="I58" s="298"/>
      <c r="J58" s="298">
        <v>8122419</v>
      </c>
      <c r="K58" s="298">
        <v>8122419</v>
      </c>
      <c r="L58" s="760">
        <f t="shared" si="30"/>
        <v>1</v>
      </c>
      <c r="M58" s="364"/>
      <c r="N58" s="298"/>
      <c r="O58" s="298"/>
      <c r="P58" s="298"/>
      <c r="Q58" s="298"/>
      <c r="R58" s="301">
        <f>J58</f>
        <v>8122419</v>
      </c>
      <c r="S58" s="301">
        <f>K58</f>
        <v>8122419</v>
      </c>
      <c r="T58" s="760">
        <f t="shared" si="32"/>
        <v>1</v>
      </c>
      <c r="U58" s="364">
        <v>0</v>
      </c>
      <c r="V58" s="298">
        <v>0</v>
      </c>
      <c r="W58" s="298"/>
      <c r="X58" s="298"/>
      <c r="Y58" s="298"/>
      <c r="Z58" s="298"/>
      <c r="AA58" s="298"/>
      <c r="AB58" s="760"/>
    </row>
    <row r="59" spans="1:28" ht="21.75" customHeight="1" thickBot="1">
      <c r="A59" s="107"/>
      <c r="B59" s="104" t="s">
        <v>79</v>
      </c>
      <c r="C59" s="1308" t="s">
        <v>344</v>
      </c>
      <c r="D59" s="1308"/>
      <c r="E59" s="364">
        <v>137687964</v>
      </c>
      <c r="F59" s="298">
        <v>137687964</v>
      </c>
      <c r="G59" s="298">
        <f>137687964-1087</f>
        <v>137686877</v>
      </c>
      <c r="H59" s="298">
        <f>137687964-1087</f>
        <v>137686877</v>
      </c>
      <c r="I59" s="298">
        <f>137687964-1087</f>
        <v>137686877</v>
      </c>
      <c r="J59" s="298">
        <f>137687964-1087</f>
        <v>137686877</v>
      </c>
      <c r="K59" s="298">
        <f>137687964-1087</f>
        <v>137686877</v>
      </c>
      <c r="L59" s="760">
        <f t="shared" si="30"/>
        <v>1</v>
      </c>
      <c r="M59" s="364">
        <v>137687964</v>
      </c>
      <c r="N59" s="298">
        <v>137687964</v>
      </c>
      <c r="O59" s="298">
        <f>137687964-1087</f>
        <v>137686877</v>
      </c>
      <c r="P59" s="301">
        <f>H59</f>
        <v>137686877</v>
      </c>
      <c r="Q59" s="301">
        <f>I59</f>
        <v>137686877</v>
      </c>
      <c r="R59" s="301">
        <f>J59</f>
        <v>137686877</v>
      </c>
      <c r="S59" s="301">
        <f>K59</f>
        <v>137686877</v>
      </c>
      <c r="T59" s="760">
        <f t="shared" si="32"/>
        <v>1</v>
      </c>
      <c r="U59" s="364">
        <v>0</v>
      </c>
      <c r="V59" s="298">
        <v>0</v>
      </c>
      <c r="W59" s="298"/>
      <c r="X59" s="298"/>
      <c r="Y59" s="298"/>
      <c r="Z59" s="298"/>
      <c r="AA59" s="298"/>
      <c r="AB59" s="760"/>
    </row>
    <row r="60" spans="1:28" ht="35.25" customHeight="1" thickBot="1">
      <c r="A60" s="114" t="s">
        <v>62</v>
      </c>
      <c r="B60" s="1307" t="s">
        <v>81</v>
      </c>
      <c r="C60" s="1307"/>
      <c r="D60" s="1307"/>
      <c r="E60" s="370">
        <f aca="true" t="shared" si="35" ref="E60:J60">E55+E56</f>
        <v>583032915</v>
      </c>
      <c r="F60" s="78">
        <f t="shared" si="35"/>
        <v>583032915</v>
      </c>
      <c r="G60" s="78">
        <f t="shared" si="35"/>
        <v>582368179</v>
      </c>
      <c r="H60" s="78">
        <f t="shared" si="35"/>
        <v>598748407</v>
      </c>
      <c r="I60" s="78">
        <f t="shared" si="35"/>
        <v>598966654</v>
      </c>
      <c r="J60" s="78">
        <f t="shared" si="35"/>
        <v>653208764</v>
      </c>
      <c r="K60" s="78">
        <f>K55+K56</f>
        <v>643026482</v>
      </c>
      <c r="L60" s="758">
        <f t="shared" si="30"/>
        <v>0.9844119023485729</v>
      </c>
      <c r="M60" s="370">
        <f aca="true" t="shared" si="36" ref="M60:Z60">M55+M56</f>
        <v>562385122</v>
      </c>
      <c r="N60" s="78">
        <f t="shared" si="36"/>
        <v>562385122</v>
      </c>
      <c r="O60" s="78">
        <f t="shared" si="36"/>
        <v>561710386</v>
      </c>
      <c r="P60" s="78">
        <f t="shared" si="36"/>
        <v>576360614</v>
      </c>
      <c r="Q60" s="78">
        <f t="shared" si="36"/>
        <v>576578861</v>
      </c>
      <c r="R60" s="78">
        <f t="shared" si="36"/>
        <v>630608431</v>
      </c>
      <c r="S60" s="78">
        <f>S55+S56</f>
        <v>620426149</v>
      </c>
      <c r="T60" s="758">
        <f t="shared" si="32"/>
        <v>0.9838532415688556</v>
      </c>
      <c r="U60" s="370">
        <f t="shared" si="36"/>
        <v>20647793</v>
      </c>
      <c r="V60" s="78">
        <f t="shared" si="36"/>
        <v>20647793</v>
      </c>
      <c r="W60" s="78">
        <f t="shared" si="36"/>
        <v>20657793</v>
      </c>
      <c r="X60" s="78">
        <f t="shared" si="36"/>
        <v>22387793</v>
      </c>
      <c r="Y60" s="78">
        <f t="shared" si="36"/>
        <v>22387793</v>
      </c>
      <c r="Z60" s="78">
        <f t="shared" si="36"/>
        <v>22600333</v>
      </c>
      <c r="AA60" s="78">
        <f>AA55+AA56</f>
        <v>22600333</v>
      </c>
      <c r="AB60" s="758">
        <f>AA60/Z60</f>
        <v>1</v>
      </c>
    </row>
    <row r="61" spans="1:28" ht="21.75" customHeight="1" hidden="1" thickBot="1">
      <c r="A61" s="1302" t="s">
        <v>250</v>
      </c>
      <c r="B61" s="1303"/>
      <c r="C61" s="1303"/>
      <c r="D61" s="1303"/>
      <c r="E61" s="578"/>
      <c r="F61" s="579"/>
      <c r="G61" s="579"/>
      <c r="H61" s="579"/>
      <c r="I61" s="579"/>
      <c r="J61" s="579"/>
      <c r="K61" s="579"/>
      <c r="L61" s="758" t="e">
        <f>J61/I61</f>
        <v>#DIV/0!</v>
      </c>
      <c r="M61" s="578"/>
      <c r="N61" s="579"/>
      <c r="O61" s="579"/>
      <c r="P61" s="579"/>
      <c r="Q61" s="579"/>
      <c r="R61" s="579"/>
      <c r="S61" s="579"/>
      <c r="T61" s="758" t="e">
        <f>R61/Q61</f>
        <v>#DIV/0!</v>
      </c>
      <c r="U61" s="578"/>
      <c r="V61" s="579"/>
      <c r="W61" s="579"/>
      <c r="X61" s="579"/>
      <c r="Y61" s="579"/>
      <c r="Z61" s="579"/>
      <c r="AA61" s="579"/>
      <c r="AB61" s="758" t="e">
        <f>Z61/Y61</f>
        <v>#DIV/0!</v>
      </c>
    </row>
    <row r="62" spans="1:28" ht="21.75" customHeight="1" thickBot="1">
      <c r="A62" s="1306" t="s">
        <v>7</v>
      </c>
      <c r="B62" s="1307"/>
      <c r="C62" s="1307"/>
      <c r="D62" s="1307"/>
      <c r="E62" s="420">
        <f aca="true" t="shared" si="37" ref="E62:J62">E60+E61</f>
        <v>583032915</v>
      </c>
      <c r="F62" s="421">
        <f t="shared" si="37"/>
        <v>583032915</v>
      </c>
      <c r="G62" s="421">
        <f t="shared" si="37"/>
        <v>582368179</v>
      </c>
      <c r="H62" s="421">
        <f t="shared" si="37"/>
        <v>598748407</v>
      </c>
      <c r="I62" s="421">
        <f t="shared" si="37"/>
        <v>598966654</v>
      </c>
      <c r="J62" s="421">
        <f t="shared" si="37"/>
        <v>653208764</v>
      </c>
      <c r="K62" s="421">
        <f>K60+K61</f>
        <v>643026482</v>
      </c>
      <c r="L62" s="758">
        <f>K62/J62</f>
        <v>0.9844119023485729</v>
      </c>
      <c r="M62" s="420">
        <f aca="true" t="shared" si="38" ref="M62:Z62">M60+M61</f>
        <v>562385122</v>
      </c>
      <c r="N62" s="421">
        <f t="shared" si="38"/>
        <v>562385122</v>
      </c>
      <c r="O62" s="421">
        <f t="shared" si="38"/>
        <v>561710386</v>
      </c>
      <c r="P62" s="421">
        <f t="shared" si="38"/>
        <v>576360614</v>
      </c>
      <c r="Q62" s="421">
        <f t="shared" si="38"/>
        <v>576578861</v>
      </c>
      <c r="R62" s="421">
        <f t="shared" si="38"/>
        <v>630608431</v>
      </c>
      <c r="S62" s="421">
        <f>S60+S61</f>
        <v>620426149</v>
      </c>
      <c r="T62" s="758">
        <f>S62/R62</f>
        <v>0.9838532415688556</v>
      </c>
      <c r="U62" s="420">
        <f t="shared" si="38"/>
        <v>20647793</v>
      </c>
      <c r="V62" s="421">
        <f t="shared" si="38"/>
        <v>20647793</v>
      </c>
      <c r="W62" s="421">
        <f t="shared" si="38"/>
        <v>20657793</v>
      </c>
      <c r="X62" s="421">
        <f t="shared" si="38"/>
        <v>22387793</v>
      </c>
      <c r="Y62" s="421">
        <f t="shared" si="38"/>
        <v>22387793</v>
      </c>
      <c r="Z62" s="421">
        <f t="shared" si="38"/>
        <v>22600333</v>
      </c>
      <c r="AA62" s="421">
        <f>AA60+AA61</f>
        <v>22600333</v>
      </c>
      <c r="AB62" s="758">
        <f>AA62/Z62</f>
        <v>1</v>
      </c>
    </row>
    <row r="63" spans="1:28" ht="21.75" customHeight="1">
      <c r="A63" s="581"/>
      <c r="B63" s="582"/>
      <c r="C63" s="582"/>
      <c r="D63" s="582"/>
      <c r="E63" s="583"/>
      <c r="F63" s="583"/>
      <c r="G63" s="583"/>
      <c r="H63" s="583"/>
      <c r="I63" s="583"/>
      <c r="J63" s="956"/>
      <c r="K63" s="956"/>
      <c r="L63" s="583"/>
      <c r="M63" s="583"/>
      <c r="N63" s="583"/>
      <c r="O63" s="583"/>
      <c r="P63" s="956"/>
      <c r="Q63" s="583"/>
      <c r="R63" s="583"/>
      <c r="S63" s="583"/>
      <c r="T63" s="583"/>
      <c r="U63" s="583"/>
      <c r="V63" s="583"/>
      <c r="W63" s="583"/>
      <c r="X63" s="583"/>
      <c r="Y63" s="583"/>
      <c r="Z63" s="583"/>
      <c r="AA63" s="583"/>
      <c r="AB63" s="583"/>
    </row>
    <row r="64" spans="1:24" ht="21.75" customHeight="1">
      <c r="A64" s="93"/>
      <c r="B64" s="140"/>
      <c r="C64" s="140"/>
      <c r="D64" s="140"/>
      <c r="E64" s="338"/>
      <c r="F64" s="338"/>
      <c r="G64" s="338"/>
      <c r="H64" s="338"/>
      <c r="I64" s="337"/>
      <c r="J64" s="337"/>
      <c r="K64" s="337"/>
      <c r="L64" s="338"/>
      <c r="M64" s="338"/>
      <c r="V64" s="338"/>
      <c r="W64" s="338"/>
      <c r="X64" s="338"/>
    </row>
    <row r="65" spans="1:24" ht="35.25" customHeight="1">
      <c r="A65" s="93"/>
      <c r="B65" s="140"/>
      <c r="C65" s="140"/>
      <c r="D65" s="140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Q65" s="338"/>
      <c r="R65" s="338"/>
      <c r="T65" s="338"/>
      <c r="V65" s="338"/>
      <c r="W65" s="338"/>
      <c r="X65" s="338"/>
    </row>
    <row r="66" spans="1:24" ht="35.25" customHeight="1">
      <c r="A66" s="93"/>
      <c r="B66" s="140"/>
      <c r="C66" s="140"/>
      <c r="D66" s="140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V66" s="338"/>
      <c r="W66" s="338"/>
      <c r="X66" s="338"/>
    </row>
    <row r="67" spans="5:24" ht="12.75"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V67" s="338"/>
      <c r="W67" s="338"/>
      <c r="X67" s="338"/>
    </row>
    <row r="68" spans="5:24" ht="12.75"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V68" s="338"/>
      <c r="W68" s="338"/>
      <c r="X68" s="338"/>
    </row>
    <row r="69" spans="5:24" ht="12.75"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V69" s="338"/>
      <c r="W69" s="338"/>
      <c r="X69" s="338"/>
    </row>
    <row r="70" spans="4:24" ht="12.75">
      <c r="D70" s="101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V70" s="338"/>
      <c r="W70" s="338"/>
      <c r="X70" s="338"/>
    </row>
    <row r="71" spans="4:24" ht="48.75" customHeight="1">
      <c r="D71" s="101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V71" s="338"/>
      <c r="W71" s="338"/>
      <c r="X71" s="338"/>
    </row>
    <row r="72" spans="4:24" ht="46.5" customHeight="1">
      <c r="D72" s="101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V72" s="338"/>
      <c r="W72" s="338"/>
      <c r="X72" s="338"/>
    </row>
    <row r="73" spans="5:24" ht="41.25" customHeight="1"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V73" s="338"/>
      <c r="W73" s="338"/>
      <c r="X73" s="338"/>
    </row>
    <row r="74" spans="5:24" ht="12.75"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V74" s="338"/>
      <c r="W74" s="338"/>
      <c r="X74" s="338"/>
    </row>
    <row r="75" spans="5:24" ht="12.75"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V75" s="338"/>
      <c r="W75" s="338"/>
      <c r="X75" s="338"/>
    </row>
    <row r="76" spans="5:24" ht="12.75"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V76" s="338"/>
      <c r="W76" s="338"/>
      <c r="X76" s="338"/>
    </row>
    <row r="77" spans="5:24" ht="12.75"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V77" s="338"/>
      <c r="W77" s="338"/>
      <c r="X77" s="338"/>
    </row>
    <row r="78" spans="5:24" ht="12.75"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V78" s="338"/>
      <c r="W78" s="338"/>
      <c r="X78" s="338"/>
    </row>
    <row r="79" spans="5:24" ht="12.75"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V79" s="338"/>
      <c r="W79" s="338"/>
      <c r="X79" s="338"/>
    </row>
    <row r="80" spans="5:24" ht="12.75"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V80" s="338"/>
      <c r="W80" s="338"/>
      <c r="X80" s="338"/>
    </row>
    <row r="81" spans="5:24" ht="12.75"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V81" s="338"/>
      <c r="W81" s="338"/>
      <c r="X81" s="338"/>
    </row>
    <row r="82" spans="5:24" ht="12.75"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V82" s="338"/>
      <c r="W82" s="338"/>
      <c r="X82" s="338"/>
    </row>
    <row r="83" spans="5:24" ht="12.75"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V83" s="338"/>
      <c r="W83" s="338"/>
      <c r="X83" s="338"/>
    </row>
    <row r="84" spans="5:24" ht="12.75"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V84" s="338"/>
      <c r="W84" s="338"/>
      <c r="X84" s="338"/>
    </row>
    <row r="85" spans="5:24" ht="12.75"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V85" s="338"/>
      <c r="W85" s="338"/>
      <c r="X85" s="338"/>
    </row>
    <row r="86" spans="5:24" ht="12.75"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V86" s="338"/>
      <c r="W86" s="338"/>
      <c r="X86" s="338"/>
    </row>
    <row r="87" spans="5:24" ht="12.75"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V87" s="338"/>
      <c r="W87" s="338"/>
      <c r="X87" s="338"/>
    </row>
    <row r="88" spans="5:24" ht="12.75"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V88" s="338"/>
      <c r="W88" s="338"/>
      <c r="X88" s="338"/>
    </row>
    <row r="89" spans="5:24" ht="12.75"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V89" s="338"/>
      <c r="W89" s="338"/>
      <c r="X89" s="338"/>
    </row>
    <row r="90" spans="5:24" ht="12.75"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V90" s="338"/>
      <c r="W90" s="338"/>
      <c r="X90" s="338"/>
    </row>
    <row r="91" spans="5:24" ht="12.75"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V91" s="338"/>
      <c r="W91" s="338"/>
      <c r="X91" s="338"/>
    </row>
    <row r="92" spans="5:24" ht="12.75"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V92" s="338"/>
      <c r="W92" s="338"/>
      <c r="X92" s="338"/>
    </row>
    <row r="93" spans="5:24" ht="12.75"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V93" s="338"/>
      <c r="W93" s="338"/>
      <c r="X93" s="338"/>
    </row>
    <row r="94" spans="5:24" ht="12.75"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V94" s="338"/>
      <c r="W94" s="338"/>
      <c r="X94" s="338"/>
    </row>
    <row r="95" spans="5:24" ht="12.75"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V95" s="338"/>
      <c r="W95" s="338"/>
      <c r="X95" s="338"/>
    </row>
    <row r="96" spans="5:24" ht="12.75"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V96" s="338"/>
      <c r="W96" s="338"/>
      <c r="X96" s="338"/>
    </row>
    <row r="97" spans="5:24" ht="12.75"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V97" s="338"/>
      <c r="W97" s="338"/>
      <c r="X97" s="338"/>
    </row>
    <row r="98" spans="5:24" ht="12.75"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V98" s="338"/>
      <c r="W98" s="338"/>
      <c r="X98" s="338"/>
    </row>
    <row r="99" spans="5:24" ht="12.75"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V99" s="338"/>
      <c r="W99" s="338"/>
      <c r="X99" s="338"/>
    </row>
    <row r="100" spans="5:24" ht="12.75"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V100" s="338"/>
      <c r="W100" s="338"/>
      <c r="X100" s="338"/>
    </row>
    <row r="101" spans="5:24" ht="12.75"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V101" s="338"/>
      <c r="W101" s="338"/>
      <c r="X101" s="338"/>
    </row>
    <row r="102" spans="5:24" ht="12.75"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V102" s="338"/>
      <c r="W102" s="338"/>
      <c r="X102" s="338"/>
    </row>
    <row r="103" spans="5:24" ht="12.75"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V103" s="338"/>
      <c r="W103" s="338"/>
      <c r="X103" s="338"/>
    </row>
    <row r="104" spans="5:24" ht="12.75"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V104" s="338"/>
      <c r="W104" s="338"/>
      <c r="X104" s="338"/>
    </row>
    <row r="105" spans="5:24" ht="12.75"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V105" s="338"/>
      <c r="W105" s="338"/>
      <c r="X105" s="338"/>
    </row>
    <row r="106" spans="5:24" ht="12.75"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V106" s="338"/>
      <c r="W106" s="338"/>
      <c r="X106" s="338"/>
    </row>
    <row r="107" spans="5:24" ht="12.75"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V107" s="338"/>
      <c r="W107" s="338"/>
      <c r="X107" s="338"/>
    </row>
    <row r="108" spans="5:24" ht="12.75"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V108" s="338"/>
      <c r="W108" s="338"/>
      <c r="X108" s="338"/>
    </row>
    <row r="109" spans="5:24" ht="12.75"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V109" s="338"/>
      <c r="W109" s="338"/>
      <c r="X109" s="338"/>
    </row>
    <row r="110" spans="5:24" ht="12.75"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V110" s="338"/>
      <c r="W110" s="338"/>
      <c r="X110" s="338"/>
    </row>
    <row r="111" spans="5:24" ht="12.75"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V111" s="338"/>
      <c r="W111" s="338"/>
      <c r="X111" s="338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U2"/>
    <mergeCell ref="A4:C4"/>
    <mergeCell ref="B6:D6"/>
    <mergeCell ref="B7:D7"/>
    <mergeCell ref="E4:L4"/>
    <mergeCell ref="M4:T4"/>
    <mergeCell ref="U4:AB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zoomScale="70" zoomScaleNormal="70" workbookViewId="0" topLeftCell="A7">
      <selection activeCell="K31" sqref="K31"/>
    </sheetView>
  </sheetViews>
  <sheetFormatPr defaultColWidth="9.140625" defaultRowHeight="12.75"/>
  <cols>
    <col min="1" max="1" width="5.8515625" style="122" customWidth="1"/>
    <col min="2" max="2" width="8.140625" style="129" customWidth="1"/>
    <col min="3" max="3" width="6.8515625" style="129" customWidth="1"/>
    <col min="4" max="4" width="50.140625" style="130" bestFit="1" customWidth="1"/>
    <col min="5" max="5" width="21.57421875" style="1" customWidth="1"/>
    <col min="6" max="7" width="17.00390625" style="1" hidden="1" customWidth="1"/>
    <col min="8" max="8" width="20.421875" style="1" hidden="1" customWidth="1"/>
    <col min="9" max="9" width="18.421875" style="1" hidden="1" customWidth="1"/>
    <col min="10" max="11" width="22.7109375" style="1" customWidth="1"/>
    <col min="12" max="12" width="14.57421875" style="1" customWidth="1"/>
    <col min="13" max="13" width="20.7109375" style="80" customWidth="1"/>
    <col min="14" max="14" width="16.421875" style="80" hidden="1" customWidth="1"/>
    <col min="15" max="15" width="18.28125" style="80" hidden="1" customWidth="1"/>
    <col min="16" max="16" width="15.7109375" style="80" hidden="1" customWidth="1"/>
    <col min="17" max="17" width="17.140625" style="80" hidden="1" customWidth="1"/>
    <col min="18" max="19" width="16.7109375" style="80" customWidth="1"/>
    <col min="20" max="20" width="10.8515625" style="80" customWidth="1"/>
    <col min="21" max="21" width="22.140625" style="80" customWidth="1"/>
    <col min="22" max="22" width="14.8515625" style="80" hidden="1" customWidth="1"/>
    <col min="23" max="23" width="15.7109375" style="1" hidden="1" customWidth="1"/>
    <col min="24" max="24" width="17.7109375" style="1" hidden="1" customWidth="1"/>
    <col min="25" max="25" width="19.140625" style="1" hidden="1" customWidth="1"/>
    <col min="26" max="27" width="15.421875" style="1" customWidth="1"/>
    <col min="28" max="28" width="14.28125" style="1" customWidth="1"/>
    <col min="29" max="29" width="9.140625" style="1" hidden="1" customWidth="1"/>
    <col min="30" max="16384" width="9.140625" style="1" customWidth="1"/>
  </cols>
  <sheetData>
    <row r="1" spans="5:21" ht="15.75">
      <c r="E1" s="1373" t="s">
        <v>59</v>
      </c>
      <c r="F1" s="1373"/>
      <c r="G1" s="1373"/>
      <c r="H1" s="1373"/>
      <c r="I1" s="1373"/>
      <c r="J1" s="1373"/>
      <c r="K1" s="1373"/>
      <c r="L1" s="1373"/>
      <c r="M1" s="1373"/>
      <c r="N1" s="1373"/>
      <c r="O1" s="1373"/>
      <c r="P1" s="1373"/>
      <c r="Q1" s="1373"/>
      <c r="R1" s="1373"/>
      <c r="S1" s="1373"/>
      <c r="T1" s="1373"/>
      <c r="U1" s="1373"/>
    </row>
    <row r="2" spans="1:22" ht="37.5" customHeight="1">
      <c r="A2" s="1372" t="s">
        <v>503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72"/>
      <c r="S2" s="1372"/>
      <c r="T2" s="1372"/>
      <c r="U2" s="1372"/>
      <c r="V2" s="254"/>
    </row>
    <row r="3" spans="1:21" ht="14.25" customHeight="1" thickBot="1">
      <c r="A3" s="93"/>
      <c r="B3" s="121"/>
      <c r="C3" s="121"/>
      <c r="D3" s="131"/>
      <c r="U3" s="137" t="s">
        <v>2</v>
      </c>
    </row>
    <row r="4" spans="1:28" s="2" customFormat="1" ht="48.75" customHeight="1" thickBot="1">
      <c r="A4" s="1342" t="s">
        <v>4</v>
      </c>
      <c r="B4" s="1309"/>
      <c r="C4" s="1309"/>
      <c r="D4" s="1309"/>
      <c r="E4" s="456" t="s">
        <v>5</v>
      </c>
      <c r="F4" s="414"/>
      <c r="G4" s="414"/>
      <c r="H4" s="414"/>
      <c r="I4" s="415"/>
      <c r="J4" s="960"/>
      <c r="K4" s="960"/>
      <c r="L4" s="316"/>
      <c r="M4" s="456" t="s">
        <v>65</v>
      </c>
      <c r="N4" s="414"/>
      <c r="O4" s="414"/>
      <c r="P4" s="414"/>
      <c r="Q4" s="415"/>
      <c r="R4" s="960"/>
      <c r="S4" s="960"/>
      <c r="T4" s="316"/>
      <c r="U4" s="1343" t="s">
        <v>66</v>
      </c>
      <c r="V4" s="1344"/>
      <c r="W4" s="1344"/>
      <c r="X4" s="1344"/>
      <c r="Y4" s="1344"/>
      <c r="Z4" s="1344"/>
      <c r="AA4" s="1345"/>
      <c r="AB4" s="1346"/>
    </row>
    <row r="5" spans="1:28" s="2" customFormat="1" ht="16.5" thickBot="1">
      <c r="A5" s="312"/>
      <c r="B5" s="310"/>
      <c r="C5" s="310"/>
      <c r="D5" s="310"/>
      <c r="E5" s="413" t="s">
        <v>69</v>
      </c>
      <c r="F5" s="414" t="s">
        <v>237</v>
      </c>
      <c r="G5" s="414" t="s">
        <v>240</v>
      </c>
      <c r="H5" s="414" t="s">
        <v>243</v>
      </c>
      <c r="I5" s="415" t="s">
        <v>259</v>
      </c>
      <c r="J5" s="883" t="s">
        <v>264</v>
      </c>
      <c r="K5" s="883" t="s">
        <v>246</v>
      </c>
      <c r="L5" s="775" t="s">
        <v>247</v>
      </c>
      <c r="M5" s="413" t="s">
        <v>69</v>
      </c>
      <c r="N5" s="414" t="s">
        <v>237</v>
      </c>
      <c r="O5" s="414" t="s">
        <v>240</v>
      </c>
      <c r="P5" s="414" t="s">
        <v>243</v>
      </c>
      <c r="Q5" s="415" t="s">
        <v>259</v>
      </c>
      <c r="R5" s="883" t="s">
        <v>264</v>
      </c>
      <c r="S5" s="883" t="s">
        <v>246</v>
      </c>
      <c r="T5" s="775" t="s">
        <v>247</v>
      </c>
      <c r="U5" s="413" t="s">
        <v>69</v>
      </c>
      <c r="V5" s="414" t="s">
        <v>237</v>
      </c>
      <c r="W5" s="414" t="s">
        <v>240</v>
      </c>
      <c r="X5" s="414" t="s">
        <v>243</v>
      </c>
      <c r="Y5" s="414" t="s">
        <v>259</v>
      </c>
      <c r="Z5" s="414" t="s">
        <v>264</v>
      </c>
      <c r="AA5" s="883" t="s">
        <v>246</v>
      </c>
      <c r="AB5" s="986" t="s">
        <v>247</v>
      </c>
    </row>
    <row r="6" spans="1:29" s="79" customFormat="1" ht="22.5" customHeight="1" thickBot="1">
      <c r="A6" s="114" t="s">
        <v>29</v>
      </c>
      <c r="B6" s="1329" t="s">
        <v>82</v>
      </c>
      <c r="C6" s="1329"/>
      <c r="D6" s="1329"/>
      <c r="E6" s="368">
        <f aca="true" t="shared" si="0" ref="E6:J6">SUM(E7:E11)</f>
        <v>264903761</v>
      </c>
      <c r="F6" s="299">
        <f t="shared" si="0"/>
        <v>265084818</v>
      </c>
      <c r="G6" s="299">
        <f t="shared" si="0"/>
        <v>264890278</v>
      </c>
      <c r="H6" s="299">
        <f t="shared" si="0"/>
        <v>268652594</v>
      </c>
      <c r="I6" s="860">
        <f t="shared" si="0"/>
        <v>267053845</v>
      </c>
      <c r="J6" s="860">
        <f t="shared" si="0"/>
        <v>349561777</v>
      </c>
      <c r="K6" s="860">
        <f>SUM(K7:K11)</f>
        <v>234970033</v>
      </c>
      <c r="L6" s="744">
        <f aca="true" t="shared" si="1" ref="L6:L14">K6/J6</f>
        <v>0.6721845706831957</v>
      </c>
      <c r="M6" s="368">
        <f aca="true" t="shared" si="2" ref="M6:R6">SUM(M7:M11)</f>
        <v>249255968</v>
      </c>
      <c r="N6" s="299">
        <f t="shared" si="2"/>
        <v>249437025</v>
      </c>
      <c r="O6" s="299">
        <f t="shared" si="2"/>
        <v>249232485</v>
      </c>
      <c r="P6" s="299">
        <f t="shared" si="2"/>
        <v>252764801</v>
      </c>
      <c r="Q6" s="860">
        <f t="shared" si="2"/>
        <v>251166052</v>
      </c>
      <c r="R6" s="860">
        <f t="shared" si="2"/>
        <v>333911444</v>
      </c>
      <c r="S6" s="860">
        <f>SUM(S7:S11)</f>
        <v>222742216</v>
      </c>
      <c r="T6" s="744">
        <f aca="true" t="shared" si="3" ref="T6:T12">S6/R6</f>
        <v>0.6670697276251484</v>
      </c>
      <c r="U6" s="368">
        <f aca="true" t="shared" si="4" ref="U6:Z6">SUM(U7:U11)</f>
        <v>15647793</v>
      </c>
      <c r="V6" s="299">
        <f t="shared" si="4"/>
        <v>15647793</v>
      </c>
      <c r="W6" s="299">
        <f t="shared" si="4"/>
        <v>15657793</v>
      </c>
      <c r="X6" s="299">
        <f t="shared" si="4"/>
        <v>15887793</v>
      </c>
      <c r="Y6" s="299">
        <f t="shared" si="4"/>
        <v>15887793</v>
      </c>
      <c r="Z6" s="299">
        <f t="shared" si="4"/>
        <v>15650333</v>
      </c>
      <c r="AA6" s="299">
        <f>SUM(AA7:AA11)</f>
        <v>12227817</v>
      </c>
      <c r="AB6" s="744">
        <f>AA6/Z6</f>
        <v>0.7813135349899584</v>
      </c>
      <c r="AC6" s="961">
        <f>SUM(AC7:AC11)</f>
        <v>0</v>
      </c>
    </row>
    <row r="7" spans="1:29" s="5" customFormat="1" ht="22.5" customHeight="1">
      <c r="A7" s="113"/>
      <c r="B7" s="118" t="s">
        <v>38</v>
      </c>
      <c r="C7" s="118"/>
      <c r="D7" s="359" t="s">
        <v>0</v>
      </c>
      <c r="E7" s="369">
        <v>43693300</v>
      </c>
      <c r="F7" s="301">
        <v>43693300</v>
      </c>
      <c r="G7" s="301">
        <v>43693300</v>
      </c>
      <c r="H7" s="301">
        <v>43693300</v>
      </c>
      <c r="I7" s="861">
        <v>43693300</v>
      </c>
      <c r="J7" s="861">
        <v>45469116</v>
      </c>
      <c r="K7" s="861">
        <v>37069984</v>
      </c>
      <c r="L7" s="876">
        <f t="shared" si="1"/>
        <v>0.8152783089075231</v>
      </c>
      <c r="M7" s="369">
        <f aca="true" t="shared" si="5" ref="M7:S8">E7</f>
        <v>43693300</v>
      </c>
      <c r="N7" s="301">
        <f t="shared" si="5"/>
        <v>43693300</v>
      </c>
      <c r="O7" s="301">
        <f t="shared" si="5"/>
        <v>43693300</v>
      </c>
      <c r="P7" s="301">
        <f t="shared" si="5"/>
        <v>43693300</v>
      </c>
      <c r="Q7" s="861">
        <f t="shared" si="5"/>
        <v>43693300</v>
      </c>
      <c r="R7" s="861">
        <f t="shared" si="5"/>
        <v>45469116</v>
      </c>
      <c r="S7" s="861">
        <f t="shared" si="5"/>
        <v>37069984</v>
      </c>
      <c r="T7" s="876">
        <f t="shared" si="3"/>
        <v>0.8152783089075231</v>
      </c>
      <c r="U7" s="369">
        <v>0</v>
      </c>
      <c r="V7" s="301">
        <v>0</v>
      </c>
      <c r="W7" s="301">
        <v>0</v>
      </c>
      <c r="X7" s="301">
        <v>0</v>
      </c>
      <c r="Y7" s="301">
        <v>0</v>
      </c>
      <c r="Z7" s="301">
        <v>0</v>
      </c>
      <c r="AA7" s="301">
        <v>0</v>
      </c>
      <c r="AB7" s="876"/>
      <c r="AC7" s="884"/>
    </row>
    <row r="8" spans="1:29" s="5" customFormat="1" ht="22.5" customHeight="1">
      <c r="A8" s="96"/>
      <c r="B8" s="105" t="s">
        <v>39</v>
      </c>
      <c r="C8" s="105"/>
      <c r="D8" s="360" t="s">
        <v>83</v>
      </c>
      <c r="E8" s="416">
        <v>10704481</v>
      </c>
      <c r="F8" s="417">
        <v>10704481</v>
      </c>
      <c r="G8" s="417">
        <v>10704481</v>
      </c>
      <c r="H8" s="417">
        <f>10704481+26862</f>
        <v>10731343</v>
      </c>
      <c r="I8" s="964">
        <f>10704481+26862</f>
        <v>10731343</v>
      </c>
      <c r="J8" s="964">
        <v>10780907</v>
      </c>
      <c r="K8" s="964">
        <v>8406777</v>
      </c>
      <c r="L8" s="876">
        <f t="shared" si="1"/>
        <v>0.779783834514109</v>
      </c>
      <c r="M8" s="369">
        <f t="shared" si="5"/>
        <v>10704481</v>
      </c>
      <c r="N8" s="301">
        <f t="shared" si="5"/>
        <v>10704481</v>
      </c>
      <c r="O8" s="301">
        <f t="shared" si="5"/>
        <v>10704481</v>
      </c>
      <c r="P8" s="301">
        <f t="shared" si="5"/>
        <v>10731343</v>
      </c>
      <c r="Q8" s="861">
        <f t="shared" si="5"/>
        <v>10731343</v>
      </c>
      <c r="R8" s="861">
        <f t="shared" si="5"/>
        <v>10780907</v>
      </c>
      <c r="S8" s="861">
        <f t="shared" si="5"/>
        <v>8406777</v>
      </c>
      <c r="T8" s="876">
        <f t="shared" si="3"/>
        <v>0.779783834514109</v>
      </c>
      <c r="U8" s="416">
        <v>0</v>
      </c>
      <c r="V8" s="417">
        <v>0</v>
      </c>
      <c r="W8" s="417">
        <v>0</v>
      </c>
      <c r="X8" s="417">
        <v>0</v>
      </c>
      <c r="Y8" s="417">
        <v>0</v>
      </c>
      <c r="Z8" s="417">
        <v>0</v>
      </c>
      <c r="AA8" s="417">
        <v>0</v>
      </c>
      <c r="AB8" s="876"/>
      <c r="AC8" s="984"/>
    </row>
    <row r="9" spans="1:29" s="5" customFormat="1" ht="22.5" customHeight="1">
      <c r="A9" s="96"/>
      <c r="B9" s="105" t="s">
        <v>40</v>
      </c>
      <c r="C9" s="105"/>
      <c r="D9" s="360" t="s">
        <v>84</v>
      </c>
      <c r="E9" s="416">
        <v>62430894</v>
      </c>
      <c r="F9" s="417">
        <v>62430894</v>
      </c>
      <c r="G9" s="417">
        <f>62430894-204540</f>
        <v>62226354</v>
      </c>
      <c r="H9" s="417">
        <f>62430894-204540+1470656</f>
        <v>63697010</v>
      </c>
      <c r="I9" s="964">
        <f>62430894-204540+1470656+1799901+234580</f>
        <v>65731491</v>
      </c>
      <c r="J9" s="964">
        <v>144543562</v>
      </c>
      <c r="K9" s="964">
        <v>43373416</v>
      </c>
      <c r="L9" s="876">
        <f t="shared" si="1"/>
        <v>0.30007158672345435</v>
      </c>
      <c r="M9" s="416">
        <f>'7.sz.m.Dologi kiadás (3)'!L23</f>
        <v>60589170</v>
      </c>
      <c r="N9" s="417">
        <f>'7.sz.m.Dologi kiadás (3)'!M23</f>
        <v>60589170</v>
      </c>
      <c r="O9" s="417">
        <f>'7.sz.m.Dologi kiadás (3)'!N23</f>
        <v>60384630</v>
      </c>
      <c r="P9" s="417">
        <f>'7.sz.m.Dologi kiadás (3)'!O23</f>
        <v>61855286</v>
      </c>
      <c r="Q9" s="964">
        <f>'7.sz.m.Dologi kiadás (3)'!P23</f>
        <v>63889767</v>
      </c>
      <c r="R9" s="964">
        <f>'7.sz.m.Dologi kiadás (3)'!Q23</f>
        <v>142701838</v>
      </c>
      <c r="S9" s="964">
        <f>'7.sz.m.Dologi kiadás (3)'!R23</f>
        <v>42383371</v>
      </c>
      <c r="T9" s="876">
        <f t="shared" si="3"/>
        <v>0.297006482845722</v>
      </c>
      <c r="U9" s="416">
        <f>'7.sz.m.Dologi kiadás (3)'!T23</f>
        <v>1841724</v>
      </c>
      <c r="V9" s="417">
        <f>'7.sz.m.Dologi kiadás (3)'!U23</f>
        <v>1841724</v>
      </c>
      <c r="W9" s="417">
        <f>'7.sz.m.Dologi kiadás (3)'!V23</f>
        <v>1841724</v>
      </c>
      <c r="X9" s="417">
        <f>'7.sz.m.Dologi kiadás (3)'!W23</f>
        <v>1841724</v>
      </c>
      <c r="Y9" s="417">
        <f>'7.sz.m.Dologi kiadás (3)'!X23</f>
        <v>1841724</v>
      </c>
      <c r="Z9" s="417">
        <f>'7.sz.m.Dologi kiadás (3)'!Y23</f>
        <v>1841724</v>
      </c>
      <c r="AA9" s="417">
        <f>'7.sz.m.Dologi kiadás (3)'!Z23</f>
        <v>990045</v>
      </c>
      <c r="AB9" s="876">
        <f>AA9/Z9</f>
        <v>0.5375642604429328</v>
      </c>
      <c r="AC9" s="984"/>
    </row>
    <row r="10" spans="1:29" s="5" customFormat="1" ht="22.5" customHeight="1">
      <c r="A10" s="96"/>
      <c r="B10" s="105" t="s">
        <v>51</v>
      </c>
      <c r="C10" s="105"/>
      <c r="D10" s="360" t="s">
        <v>85</v>
      </c>
      <c r="E10" s="364">
        <v>4774766</v>
      </c>
      <c r="F10" s="298">
        <v>4774766</v>
      </c>
      <c r="G10" s="298">
        <v>4774766</v>
      </c>
      <c r="H10" s="298">
        <v>4774766</v>
      </c>
      <c r="I10" s="965">
        <f>4774766-22230</f>
        <v>4752536</v>
      </c>
      <c r="J10" s="965">
        <v>5784549</v>
      </c>
      <c r="K10" s="965">
        <v>4605420</v>
      </c>
      <c r="L10" s="876">
        <f t="shared" si="1"/>
        <v>0.7961588708125733</v>
      </c>
      <c r="M10" s="364">
        <f>'8.sz.m.szociális kiadások (2)'!C16+'8.sz.m.szociális kiadások (2)'!C18</f>
        <v>2024766</v>
      </c>
      <c r="N10" s="298">
        <f>'8.sz.m.szociális kiadások (2)'!D16+'8.sz.m.szociális kiadások (2)'!D18</f>
        <v>2024766</v>
      </c>
      <c r="O10" s="298">
        <f>'8.sz.m.szociális kiadások (2)'!E16+'8.sz.m.szociális kiadások (2)'!E18</f>
        <v>2024766</v>
      </c>
      <c r="P10" s="298">
        <f>'8.sz.m.szociális kiadások (2)'!F16+'8.sz.m.szociális kiadások (2)'!F18</f>
        <v>2024766</v>
      </c>
      <c r="Q10" s="965">
        <f>'8.sz.m.szociális kiadások (2)'!G16+'8.sz.m.szociális kiadások (2)'!G18</f>
        <v>2002536</v>
      </c>
      <c r="R10" s="965">
        <f>'8.sz.m.szociális kiadások (2)'!H16+'8.sz.m.szociális kiadások (2)'!H18+'8.sz.m.szociális kiadások (2)'!H19+'8.sz.m.szociális kiadások (2)'!H20</f>
        <v>3034549</v>
      </c>
      <c r="S10" s="965">
        <f>'8.sz.m.szociális kiadások (2)'!I16+'8.sz.m.szociális kiadások (2)'!I18+'8.sz.m.szociális kiadások (2)'!I19+'8.sz.m.szociális kiadások (2)'!I20</f>
        <v>2957050</v>
      </c>
      <c r="T10" s="876">
        <f t="shared" si="3"/>
        <v>0.9744611143204476</v>
      </c>
      <c r="U10" s="364">
        <f>SUM('8.sz.m.szociális kiadások (2)'!C10:C15)</f>
        <v>2750000</v>
      </c>
      <c r="V10" s="298">
        <f>SUM('8.sz.m.szociális kiadások (2)'!D10:D15)</f>
        <v>2750000</v>
      </c>
      <c r="W10" s="298">
        <f>SUM('8.sz.m.szociális kiadások (2)'!E10:E15)</f>
        <v>2750000</v>
      </c>
      <c r="X10" s="298">
        <f>SUM('8.sz.m.szociális kiadások (2)'!F10:F15)</f>
        <v>2750000</v>
      </c>
      <c r="Y10" s="298">
        <f>SUM('8.sz.m.szociális kiadások (2)'!G10:G15)</f>
        <v>2750000</v>
      </c>
      <c r="Z10" s="298">
        <f>SUM('8.sz.m.szociális kiadások (2)'!H10:H15)</f>
        <v>2750000</v>
      </c>
      <c r="AA10" s="298">
        <f>SUM('8.sz.m.szociális kiadások (2)'!I10:I15)</f>
        <v>1648370</v>
      </c>
      <c r="AB10" s="876">
        <f>AA10/Z10</f>
        <v>0.5994072727272727</v>
      </c>
      <c r="AC10" s="884"/>
    </row>
    <row r="11" spans="1:29" s="5" customFormat="1" ht="22.5" customHeight="1">
      <c r="A11" s="96"/>
      <c r="B11" s="105" t="s">
        <v>52</v>
      </c>
      <c r="C11" s="105"/>
      <c r="D11" s="361" t="s">
        <v>87</v>
      </c>
      <c r="E11" s="416">
        <f aca="true" t="shared" si="6" ref="E11:J11">SUM(E12:E16)</f>
        <v>143300320</v>
      </c>
      <c r="F11" s="417">
        <f t="shared" si="6"/>
        <v>143481377</v>
      </c>
      <c r="G11" s="417">
        <f t="shared" si="6"/>
        <v>143491377</v>
      </c>
      <c r="H11" s="417">
        <f t="shared" si="6"/>
        <v>145756175</v>
      </c>
      <c r="I11" s="964">
        <f t="shared" si="6"/>
        <v>142145175</v>
      </c>
      <c r="J11" s="964">
        <f t="shared" si="6"/>
        <v>142983643</v>
      </c>
      <c r="K11" s="964">
        <f>SUM(K12:K16)</f>
        <v>141514436</v>
      </c>
      <c r="L11" s="876">
        <f t="shared" si="1"/>
        <v>0.9897246498328484</v>
      </c>
      <c r="M11" s="416">
        <f aca="true" t="shared" si="7" ref="M11:S11">E11-U11</f>
        <v>132244251</v>
      </c>
      <c r="N11" s="417">
        <f t="shared" si="7"/>
        <v>132425308</v>
      </c>
      <c r="O11" s="417">
        <f t="shared" si="7"/>
        <v>132425308</v>
      </c>
      <c r="P11" s="417">
        <f t="shared" si="7"/>
        <v>134460106</v>
      </c>
      <c r="Q11" s="964">
        <f t="shared" si="7"/>
        <v>130849106</v>
      </c>
      <c r="R11" s="964">
        <f t="shared" si="7"/>
        <v>131925034</v>
      </c>
      <c r="S11" s="964">
        <f t="shared" si="7"/>
        <v>131925034</v>
      </c>
      <c r="T11" s="876">
        <f t="shared" si="3"/>
        <v>1</v>
      </c>
      <c r="U11" s="416">
        <f aca="true" t="shared" si="8" ref="U11:Z11">SUM(U12:U16)</f>
        <v>11056069</v>
      </c>
      <c r="V11" s="417">
        <f t="shared" si="8"/>
        <v>11056069</v>
      </c>
      <c r="W11" s="417">
        <f t="shared" si="8"/>
        <v>11066069</v>
      </c>
      <c r="X11" s="417">
        <f t="shared" si="8"/>
        <v>11296069</v>
      </c>
      <c r="Y11" s="417">
        <f t="shared" si="8"/>
        <v>11296069</v>
      </c>
      <c r="Z11" s="417">
        <f t="shared" si="8"/>
        <v>11058609</v>
      </c>
      <c r="AA11" s="417">
        <f>SUM(AA12:AA16)</f>
        <v>9589402</v>
      </c>
      <c r="AB11" s="876">
        <f>AA11/Z11</f>
        <v>0.8671435982590577</v>
      </c>
      <c r="AC11" s="885"/>
    </row>
    <row r="12" spans="1:29" s="5" customFormat="1" ht="22.5" customHeight="1">
      <c r="A12" s="96"/>
      <c r="B12" s="128"/>
      <c r="C12" s="105" t="s">
        <v>86</v>
      </c>
      <c r="D12" s="362" t="s">
        <v>291</v>
      </c>
      <c r="E12" s="364">
        <v>0</v>
      </c>
      <c r="F12" s="298">
        <v>181057</v>
      </c>
      <c r="G12" s="298">
        <v>181057</v>
      </c>
      <c r="H12" s="298">
        <f>181057+2018142+16656</f>
        <v>2215855</v>
      </c>
      <c r="I12" s="965">
        <f>181057+2018142+16656</f>
        <v>2215855</v>
      </c>
      <c r="J12" s="965">
        <v>2059726</v>
      </c>
      <c r="K12" s="965">
        <v>2059726</v>
      </c>
      <c r="L12" s="876">
        <f t="shared" si="1"/>
        <v>1</v>
      </c>
      <c r="M12" s="369">
        <f aca="true" t="shared" si="9" ref="M12:S12">E12</f>
        <v>0</v>
      </c>
      <c r="N12" s="301">
        <f t="shared" si="9"/>
        <v>181057</v>
      </c>
      <c r="O12" s="301">
        <f t="shared" si="9"/>
        <v>181057</v>
      </c>
      <c r="P12" s="301">
        <f t="shared" si="9"/>
        <v>2215855</v>
      </c>
      <c r="Q12" s="861">
        <f t="shared" si="9"/>
        <v>2215855</v>
      </c>
      <c r="R12" s="861">
        <f t="shared" si="9"/>
        <v>2059726</v>
      </c>
      <c r="S12" s="861">
        <f t="shared" si="9"/>
        <v>2059726</v>
      </c>
      <c r="T12" s="876">
        <f t="shared" si="3"/>
        <v>1</v>
      </c>
      <c r="U12" s="364">
        <v>0</v>
      </c>
      <c r="V12" s="298">
        <v>0</v>
      </c>
      <c r="W12" s="298">
        <v>0</v>
      </c>
      <c r="X12" s="298">
        <v>0</v>
      </c>
      <c r="Y12" s="298">
        <v>0</v>
      </c>
      <c r="Z12" s="298">
        <v>0</v>
      </c>
      <c r="AA12" s="298">
        <v>0</v>
      </c>
      <c r="AB12" s="876"/>
      <c r="AC12" s="884"/>
    </row>
    <row r="13" spans="1:29" s="5" customFormat="1" ht="31.5" customHeight="1">
      <c r="A13" s="96"/>
      <c r="B13" s="105"/>
      <c r="C13" s="105" t="s">
        <v>88</v>
      </c>
      <c r="D13" s="360" t="s">
        <v>292</v>
      </c>
      <c r="E13" s="364">
        <v>10018325</v>
      </c>
      <c r="F13" s="298">
        <v>10018325</v>
      </c>
      <c r="G13" s="298">
        <f>10018325+10000</f>
        <v>10028325</v>
      </c>
      <c r="H13" s="298">
        <f>10018325+10000+30000+200000</f>
        <v>10258325</v>
      </c>
      <c r="I13" s="965">
        <f>10018325+10000+30000+200000</f>
        <v>10258325</v>
      </c>
      <c r="J13" s="965">
        <f>10018325+10000+30000+200000</f>
        <v>10258325</v>
      </c>
      <c r="K13" s="965">
        <v>8789118</v>
      </c>
      <c r="L13" s="876">
        <f t="shared" si="1"/>
        <v>0.8567790550601585</v>
      </c>
      <c r="M13" s="364">
        <f>'9.sz.m.átadott pe (3)'!B58</f>
        <v>0</v>
      </c>
      <c r="N13" s="298">
        <f>'9.sz.m.átadott pe (3)'!C58</f>
        <v>0</v>
      </c>
      <c r="O13" s="298">
        <f>'9.sz.m.átadott pe (3)'!D58</f>
        <v>0</v>
      </c>
      <c r="P13" s="298">
        <f>'9.sz.m.átadott pe (3)'!E58</f>
        <v>0</v>
      </c>
      <c r="Q13" s="965">
        <f>'9.sz.m.átadott pe (3)'!F58</f>
        <v>0</v>
      </c>
      <c r="R13" s="965">
        <f>'9.sz.m.átadott pe (3)'!G58</f>
        <v>0</v>
      </c>
      <c r="S13" s="965">
        <f>'9.sz.m.átadott pe (3)'!H58</f>
        <v>0</v>
      </c>
      <c r="T13" s="876"/>
      <c r="U13" s="364">
        <f>'9.sz.m.átadott pe (3)'!J58</f>
        <v>10018325</v>
      </c>
      <c r="V13" s="298">
        <f>'9.sz.m.átadott pe (3)'!K58</f>
        <v>10018325</v>
      </c>
      <c r="W13" s="298">
        <f>'9.sz.m.átadott pe (3)'!L58</f>
        <v>10028325</v>
      </c>
      <c r="X13" s="298">
        <f>'9.sz.m.átadott pe (3)'!M58</f>
        <v>10258325</v>
      </c>
      <c r="Y13" s="298">
        <f>'9.sz.m.átadott pe (3)'!N58</f>
        <v>10258325</v>
      </c>
      <c r="Z13" s="298">
        <f>'9.sz.m.átadott pe (3)'!O58</f>
        <v>10258325</v>
      </c>
      <c r="AA13" s="298">
        <f>'9.sz.m.átadott pe (3)'!P58</f>
        <v>8789118</v>
      </c>
      <c r="AB13" s="876">
        <f>AA13/Z13</f>
        <v>0.8567790550601585</v>
      </c>
      <c r="AC13" s="884"/>
    </row>
    <row r="14" spans="1:29" s="5" customFormat="1" ht="36.75" customHeight="1" thickBot="1">
      <c r="A14" s="124"/>
      <c r="B14" s="125"/>
      <c r="C14" s="105" t="s">
        <v>89</v>
      </c>
      <c r="D14" s="360" t="s">
        <v>293</v>
      </c>
      <c r="E14" s="364">
        <v>133281995</v>
      </c>
      <c r="F14" s="298">
        <f>133281995</f>
        <v>133281995</v>
      </c>
      <c r="G14" s="298">
        <f>133281995</f>
        <v>133281995</v>
      </c>
      <c r="H14" s="298">
        <f>133281995</f>
        <v>133281995</v>
      </c>
      <c r="I14" s="965">
        <f>133281995-3611000</f>
        <v>129670995</v>
      </c>
      <c r="J14" s="965">
        <v>130665592</v>
      </c>
      <c r="K14" s="965">
        <v>130665592</v>
      </c>
      <c r="L14" s="876">
        <f t="shared" si="1"/>
        <v>1</v>
      </c>
      <c r="M14" s="364">
        <f>'9.sz.m.átadott pe (3)'!B86</f>
        <v>132244251</v>
      </c>
      <c r="N14" s="298">
        <f>'9.sz.m.átadott pe (3)'!C86</f>
        <v>132244251</v>
      </c>
      <c r="O14" s="298">
        <f>'9.sz.m.átadott pe (3)'!D86</f>
        <v>132244251</v>
      </c>
      <c r="P14" s="298">
        <f>'9.sz.m.átadott pe (3)'!E86</f>
        <v>132244251</v>
      </c>
      <c r="Q14" s="965">
        <f>'9.sz.m.átadott pe (3)'!F86</f>
        <v>128633251</v>
      </c>
      <c r="R14" s="965">
        <f>'9.sz.m.átadott pe (3)'!G86</f>
        <v>129865308</v>
      </c>
      <c r="S14" s="965">
        <f>'9.sz.m.átadott pe (3)'!H86</f>
        <v>129865308</v>
      </c>
      <c r="T14" s="876">
        <f>S14/R14</f>
        <v>1</v>
      </c>
      <c r="U14" s="364">
        <f>'9.sz.m.átadott pe (3)'!J86</f>
        <v>1037744</v>
      </c>
      <c r="V14" s="298">
        <f>'9.sz.m.átadott pe (3)'!K86</f>
        <v>1037744</v>
      </c>
      <c r="W14" s="298">
        <f>'9.sz.m.átadott pe (3)'!L86</f>
        <v>1037744</v>
      </c>
      <c r="X14" s="298">
        <f>'9.sz.m.átadott pe (3)'!M86</f>
        <v>1037744</v>
      </c>
      <c r="Y14" s="298">
        <f>'9.sz.m.átadott pe (3)'!N86</f>
        <v>1037744</v>
      </c>
      <c r="Z14" s="298">
        <f>'9.sz.m.átadott pe (3)'!O86</f>
        <v>800284</v>
      </c>
      <c r="AA14" s="298">
        <f>'9.sz.m.átadott pe (3)'!P86</f>
        <v>800284</v>
      </c>
      <c r="AB14" s="876">
        <f>AA14/Z14</f>
        <v>1</v>
      </c>
      <c r="AC14" s="884"/>
    </row>
    <row r="15" spans="1:29" s="5" customFormat="1" ht="22.5" customHeight="1" hidden="1">
      <c r="A15" s="96"/>
      <c r="B15" s="105"/>
      <c r="C15" s="105" t="s">
        <v>92</v>
      </c>
      <c r="D15" s="360" t="s">
        <v>94</v>
      </c>
      <c r="E15" s="416"/>
      <c r="F15" s="417"/>
      <c r="G15" s="417"/>
      <c r="H15" s="417"/>
      <c r="I15" s="964"/>
      <c r="J15" s="964"/>
      <c r="K15" s="964"/>
      <c r="L15" s="876" t="e">
        <f>I15/H15</f>
        <v>#DIV/0!</v>
      </c>
      <c r="M15" s="416"/>
      <c r="N15" s="417"/>
      <c r="O15" s="417"/>
      <c r="P15" s="417"/>
      <c r="Q15" s="964"/>
      <c r="R15" s="964"/>
      <c r="S15" s="964"/>
      <c r="T15" s="876" t="e">
        <f>Q15/P15</f>
        <v>#DIV/0!</v>
      </c>
      <c r="U15" s="416"/>
      <c r="V15" s="417"/>
      <c r="W15" s="417"/>
      <c r="X15" s="417"/>
      <c r="Y15" s="417"/>
      <c r="Z15" s="417"/>
      <c r="AA15" s="417"/>
      <c r="AB15" s="876" t="e">
        <f>Y15/X15</f>
        <v>#DIV/0!</v>
      </c>
      <c r="AC15" s="984"/>
    </row>
    <row r="16" spans="1:29" s="5" customFormat="1" ht="22.5" customHeight="1" hidden="1" thickBot="1">
      <c r="A16" s="132"/>
      <c r="B16" s="119"/>
      <c r="C16" s="119" t="s">
        <v>93</v>
      </c>
      <c r="D16" s="363" t="s">
        <v>95</v>
      </c>
      <c r="E16" s="374"/>
      <c r="F16" s="135"/>
      <c r="G16" s="135"/>
      <c r="H16" s="135"/>
      <c r="I16" s="865"/>
      <c r="J16" s="865"/>
      <c r="K16" s="865"/>
      <c r="L16" s="747" t="e">
        <f>I16/H16</f>
        <v>#DIV/0!</v>
      </c>
      <c r="M16" s="374"/>
      <c r="N16" s="135"/>
      <c r="O16" s="135"/>
      <c r="P16" s="135"/>
      <c r="Q16" s="865"/>
      <c r="R16" s="865"/>
      <c r="S16" s="865"/>
      <c r="T16" s="747" t="e">
        <f>Q16/P16</f>
        <v>#DIV/0!</v>
      </c>
      <c r="U16" s="374"/>
      <c r="V16" s="135"/>
      <c r="W16" s="135"/>
      <c r="X16" s="135"/>
      <c r="Y16" s="135"/>
      <c r="Z16" s="135"/>
      <c r="AA16" s="135"/>
      <c r="AB16" s="747" t="e">
        <f>Y16/X16</f>
        <v>#DIV/0!</v>
      </c>
      <c r="AC16" s="888"/>
    </row>
    <row r="17" spans="1:29" s="5" customFormat="1" ht="22.5" customHeight="1" thickBot="1">
      <c r="A17" s="114" t="s">
        <v>30</v>
      </c>
      <c r="B17" s="1329" t="s">
        <v>96</v>
      </c>
      <c r="C17" s="1329"/>
      <c r="D17" s="1329"/>
      <c r="E17" s="370">
        <f aca="true" t="shared" si="10" ref="E17:J17">SUM(E18:E20)</f>
        <v>34050000</v>
      </c>
      <c r="F17" s="78">
        <f t="shared" si="10"/>
        <v>34050000</v>
      </c>
      <c r="G17" s="78">
        <f t="shared" si="10"/>
        <v>32730401</v>
      </c>
      <c r="H17" s="78">
        <f t="shared" si="10"/>
        <v>84002233</v>
      </c>
      <c r="I17" s="862">
        <f t="shared" si="10"/>
        <v>84700421</v>
      </c>
      <c r="J17" s="862">
        <f t="shared" si="10"/>
        <v>88602984</v>
      </c>
      <c r="K17" s="862">
        <f>SUM(K18:K20)</f>
        <v>78342368</v>
      </c>
      <c r="L17" s="744">
        <f>K17/J17</f>
        <v>0.884195593231939</v>
      </c>
      <c r="M17" s="370">
        <f aca="true" t="shared" si="11" ref="M17:R17">SUM(M18:M20)</f>
        <v>29050000</v>
      </c>
      <c r="N17" s="78">
        <f t="shared" si="11"/>
        <v>29050000</v>
      </c>
      <c r="O17" s="78">
        <f t="shared" si="11"/>
        <v>27730401</v>
      </c>
      <c r="P17" s="78">
        <f t="shared" si="11"/>
        <v>77502233</v>
      </c>
      <c r="Q17" s="862">
        <f t="shared" si="11"/>
        <v>78200421</v>
      </c>
      <c r="R17" s="862">
        <f t="shared" si="11"/>
        <v>81652984</v>
      </c>
      <c r="S17" s="862">
        <f>SUM(S18:S20)</f>
        <v>71392368</v>
      </c>
      <c r="T17" s="744">
        <f>S17/R17</f>
        <v>0.8743387504368487</v>
      </c>
      <c r="U17" s="370">
        <f aca="true" t="shared" si="12" ref="U17:Z17">SUM(U18:U20)</f>
        <v>5000000</v>
      </c>
      <c r="V17" s="78">
        <f t="shared" si="12"/>
        <v>5000000</v>
      </c>
      <c r="W17" s="78">
        <f t="shared" si="12"/>
        <v>5000000</v>
      </c>
      <c r="X17" s="78">
        <f t="shared" si="12"/>
        <v>6500000</v>
      </c>
      <c r="Y17" s="78">
        <f t="shared" si="12"/>
        <v>6500000</v>
      </c>
      <c r="Z17" s="78">
        <f t="shared" si="12"/>
        <v>6950000</v>
      </c>
      <c r="AA17" s="78">
        <f>SUM(AA18:AA20)</f>
        <v>6950000</v>
      </c>
      <c r="AB17" s="744">
        <f>AA17/Z17</f>
        <v>1</v>
      </c>
      <c r="AC17" s="962">
        <f>SUM(AC18:AC20)</f>
        <v>0</v>
      </c>
    </row>
    <row r="18" spans="1:29" s="5" customFormat="1" ht="22.5" customHeight="1">
      <c r="A18" s="113"/>
      <c r="B18" s="118" t="s">
        <v>41</v>
      </c>
      <c r="C18" s="1336" t="s">
        <v>97</v>
      </c>
      <c r="D18" s="1336"/>
      <c r="E18" s="369">
        <v>50000</v>
      </c>
      <c r="F18" s="301">
        <v>50000</v>
      </c>
      <c r="G18" s="301">
        <f>50000+2276220</f>
        <v>2326220</v>
      </c>
      <c r="H18" s="301">
        <f>50000+2276220+2929430</f>
        <v>5255650</v>
      </c>
      <c r="I18" s="861">
        <f>50000+2276220+2929430+350520</f>
        <v>5606170</v>
      </c>
      <c r="J18" s="861">
        <v>9067358</v>
      </c>
      <c r="K18" s="861">
        <v>9067358</v>
      </c>
      <c r="L18" s="876">
        <f aca="true" t="shared" si="13" ref="L18:L23">K18/J18</f>
        <v>1</v>
      </c>
      <c r="M18" s="369">
        <f>'6.a.sz.m.fejlesztés (3)'!D16</f>
        <v>50000</v>
      </c>
      <c r="N18" s="301">
        <f>'6.a.sz.m.fejlesztés (3)'!E16</f>
        <v>50000</v>
      </c>
      <c r="O18" s="301">
        <f>'6.a.sz.m.fejlesztés (3)'!F16</f>
        <v>2326220</v>
      </c>
      <c r="P18" s="301">
        <f>'6.a.sz.m.fejlesztés (3)'!G16</f>
        <v>5255650</v>
      </c>
      <c r="Q18" s="861">
        <f>'6.a.sz.m.fejlesztés (3)'!H16</f>
        <v>5606170</v>
      </c>
      <c r="R18" s="861">
        <f>'6.a.sz.m.fejlesztés (3)'!I16</f>
        <v>9067358</v>
      </c>
      <c r="S18" s="861">
        <f>'6.a.sz.m.fejlesztés (3)'!J16</f>
        <v>9067358</v>
      </c>
      <c r="T18" s="876">
        <f>S18/R18</f>
        <v>1</v>
      </c>
      <c r="U18" s="369">
        <v>0</v>
      </c>
      <c r="V18" s="301">
        <v>0</v>
      </c>
      <c r="W18" s="301">
        <v>0</v>
      </c>
      <c r="X18" s="301">
        <v>0</v>
      </c>
      <c r="Y18" s="301">
        <v>0</v>
      </c>
      <c r="Z18" s="301">
        <v>0</v>
      </c>
      <c r="AA18" s="301">
        <v>0</v>
      </c>
      <c r="AB18" s="876"/>
      <c r="AC18" s="884">
        <v>0</v>
      </c>
    </row>
    <row r="19" spans="1:29" s="5" customFormat="1" ht="22.5" customHeight="1">
      <c r="A19" s="96"/>
      <c r="B19" s="105" t="s">
        <v>42</v>
      </c>
      <c r="C19" s="1327" t="s">
        <v>98</v>
      </c>
      <c r="D19" s="1327"/>
      <c r="E19" s="364">
        <v>29000000</v>
      </c>
      <c r="F19" s="298">
        <v>29000000</v>
      </c>
      <c r="G19" s="298">
        <f>29000000-3595819</f>
        <v>25404181</v>
      </c>
      <c r="H19" s="298">
        <f>29000000-3595819+459143+1524000</f>
        <v>27387324</v>
      </c>
      <c r="I19" s="965">
        <f>29000000-3595819+459143+1524000+347668</f>
        <v>27734992</v>
      </c>
      <c r="J19" s="965">
        <f>29000000-3595819+459143+1524000+347668</f>
        <v>27734992</v>
      </c>
      <c r="K19" s="965">
        <v>17474376</v>
      </c>
      <c r="L19" s="876">
        <f t="shared" si="13"/>
        <v>0.6300479913605167</v>
      </c>
      <c r="M19" s="364">
        <f>'6.a.sz.m.fejlesztés (3)'!D32</f>
        <v>29000000</v>
      </c>
      <c r="N19" s="298">
        <f>'6.a.sz.m.fejlesztés (3)'!E32</f>
        <v>29000000</v>
      </c>
      <c r="O19" s="298">
        <f>'6.a.sz.m.fejlesztés (3)'!F32</f>
        <v>25404181</v>
      </c>
      <c r="P19" s="298">
        <f>'6.a.sz.m.fejlesztés (3)'!G32</f>
        <v>27387324</v>
      </c>
      <c r="Q19" s="965">
        <f>'6.a.sz.m.fejlesztés (3)'!H32</f>
        <v>27734992</v>
      </c>
      <c r="R19" s="965">
        <f>'6.a.sz.m.fejlesztés (3)'!I32</f>
        <v>27734992</v>
      </c>
      <c r="S19" s="965">
        <f>'6.a.sz.m.fejlesztés (3)'!J32</f>
        <v>17474376</v>
      </c>
      <c r="T19" s="876">
        <f>S19/R19</f>
        <v>0.6300479913605167</v>
      </c>
      <c r="U19" s="364">
        <v>0</v>
      </c>
      <c r="V19" s="298">
        <v>0</v>
      </c>
      <c r="W19" s="298">
        <v>0</v>
      </c>
      <c r="X19" s="298">
        <v>0</v>
      </c>
      <c r="Y19" s="298">
        <v>0</v>
      </c>
      <c r="Z19" s="298">
        <v>0</v>
      </c>
      <c r="AA19" s="298">
        <v>0</v>
      </c>
      <c r="AB19" s="876"/>
      <c r="AC19" s="886">
        <v>0</v>
      </c>
    </row>
    <row r="20" spans="1:29" s="5" customFormat="1" ht="22.5" customHeight="1">
      <c r="A20" s="126"/>
      <c r="B20" s="105" t="s">
        <v>43</v>
      </c>
      <c r="C20" s="1340" t="s">
        <v>99</v>
      </c>
      <c r="D20" s="1340"/>
      <c r="E20" s="416">
        <f aca="true" t="shared" si="14" ref="E20:Z20">SUM(E21:E24)</f>
        <v>5000000</v>
      </c>
      <c r="F20" s="417">
        <f t="shared" si="14"/>
        <v>5000000</v>
      </c>
      <c r="G20" s="417">
        <f t="shared" si="14"/>
        <v>5000000</v>
      </c>
      <c r="H20" s="417">
        <f t="shared" si="14"/>
        <v>51359259</v>
      </c>
      <c r="I20" s="964">
        <f t="shared" si="14"/>
        <v>51359259</v>
      </c>
      <c r="J20" s="964">
        <f t="shared" si="14"/>
        <v>51800634</v>
      </c>
      <c r="K20" s="964">
        <f>SUM(K21:K24)</f>
        <v>51800634</v>
      </c>
      <c r="L20" s="876">
        <f t="shared" si="13"/>
        <v>1</v>
      </c>
      <c r="M20" s="416">
        <f t="shared" si="14"/>
        <v>0</v>
      </c>
      <c r="N20" s="417">
        <f t="shared" si="14"/>
        <v>0</v>
      </c>
      <c r="O20" s="417">
        <f t="shared" si="14"/>
        <v>0</v>
      </c>
      <c r="P20" s="417">
        <f t="shared" si="14"/>
        <v>44859259</v>
      </c>
      <c r="Q20" s="964">
        <f t="shared" si="14"/>
        <v>44859259</v>
      </c>
      <c r="R20" s="964">
        <f t="shared" si="14"/>
        <v>44850634</v>
      </c>
      <c r="S20" s="964">
        <f>SUM(S21:S24)</f>
        <v>44850634</v>
      </c>
      <c r="T20" s="876">
        <f>S20/R20</f>
        <v>1</v>
      </c>
      <c r="U20" s="416">
        <f t="shared" si="14"/>
        <v>5000000</v>
      </c>
      <c r="V20" s="417">
        <f t="shared" si="14"/>
        <v>5000000</v>
      </c>
      <c r="W20" s="417">
        <f t="shared" si="14"/>
        <v>5000000</v>
      </c>
      <c r="X20" s="417">
        <f t="shared" si="14"/>
        <v>6500000</v>
      </c>
      <c r="Y20" s="417">
        <f t="shared" si="14"/>
        <v>6500000</v>
      </c>
      <c r="Z20" s="417">
        <f t="shared" si="14"/>
        <v>6950000</v>
      </c>
      <c r="AA20" s="417">
        <f>SUM(AA21:AA24)</f>
        <v>6950000</v>
      </c>
      <c r="AB20" s="876">
        <f>AA20/Z20</f>
        <v>1</v>
      </c>
      <c r="AC20" s="885"/>
    </row>
    <row r="21" spans="1:29" s="5" customFormat="1" ht="22.5" customHeight="1">
      <c r="A21" s="102"/>
      <c r="B21" s="106"/>
      <c r="C21" s="106" t="s">
        <v>100</v>
      </c>
      <c r="D21" s="256" t="s">
        <v>90</v>
      </c>
      <c r="E21" s="364">
        <v>5000000</v>
      </c>
      <c r="F21" s="298">
        <v>5000000</v>
      </c>
      <c r="G21" s="298">
        <v>5000000</v>
      </c>
      <c r="H21" s="298">
        <v>5000000</v>
      </c>
      <c r="I21" s="965">
        <v>5000000</v>
      </c>
      <c r="J21" s="965">
        <v>5450000</v>
      </c>
      <c r="K21" s="965">
        <v>5450000</v>
      </c>
      <c r="L21" s="876">
        <f t="shared" si="13"/>
        <v>1</v>
      </c>
      <c r="M21" s="416">
        <f aca="true" t="shared" si="15" ref="M21:S21">E21-U21</f>
        <v>0</v>
      </c>
      <c r="N21" s="417">
        <f t="shared" si="15"/>
        <v>0</v>
      </c>
      <c r="O21" s="417">
        <f t="shared" si="15"/>
        <v>0</v>
      </c>
      <c r="P21" s="417">
        <f t="shared" si="15"/>
        <v>0</v>
      </c>
      <c r="Q21" s="964">
        <f t="shared" si="15"/>
        <v>0</v>
      </c>
      <c r="R21" s="964">
        <f t="shared" si="15"/>
        <v>0</v>
      </c>
      <c r="S21" s="964">
        <f t="shared" si="15"/>
        <v>0</v>
      </c>
      <c r="T21" s="876"/>
      <c r="U21" s="364">
        <f>'9.sz.m.átadott pe (3)'!W58</f>
        <v>5000000</v>
      </c>
      <c r="V21" s="298">
        <f>'9.sz.m.átadott pe (3)'!X58</f>
        <v>5000000</v>
      </c>
      <c r="W21" s="298">
        <f>'9.sz.m.átadott pe (3)'!Y58</f>
        <v>5000000</v>
      </c>
      <c r="X21" s="298">
        <f>'9.sz.m.átadott pe (3)'!Z58</f>
        <v>5000000</v>
      </c>
      <c r="Y21" s="298">
        <f>'9.sz.m.átadott pe (3)'!AA58</f>
        <v>5000000</v>
      </c>
      <c r="Z21" s="298">
        <f>'9.sz.m.átadott pe (3)'!AB58</f>
        <v>5450000</v>
      </c>
      <c r="AA21" s="298">
        <f>'9.sz.m.átadott pe (3)'!AC58</f>
        <v>5450000</v>
      </c>
      <c r="AB21" s="876">
        <f>AA21/Z21</f>
        <v>1</v>
      </c>
      <c r="AC21" s="884"/>
    </row>
    <row r="22" spans="1:29" s="5" customFormat="1" ht="22.5" customHeight="1">
      <c r="A22" s="102"/>
      <c r="B22" s="106"/>
      <c r="C22" s="106" t="s">
        <v>101</v>
      </c>
      <c r="D22" s="256" t="s">
        <v>91</v>
      </c>
      <c r="E22" s="364">
        <v>0</v>
      </c>
      <c r="F22" s="298">
        <v>0</v>
      </c>
      <c r="G22" s="298">
        <v>0</v>
      </c>
      <c r="H22" s="298">
        <v>44859259</v>
      </c>
      <c r="I22" s="965">
        <v>44859259</v>
      </c>
      <c r="J22" s="965">
        <v>44850634</v>
      </c>
      <c r="K22" s="965">
        <v>44850634</v>
      </c>
      <c r="L22" s="876">
        <f t="shared" si="13"/>
        <v>1</v>
      </c>
      <c r="M22" s="364">
        <v>0</v>
      </c>
      <c r="N22" s="298">
        <v>0</v>
      </c>
      <c r="O22" s="298">
        <v>0</v>
      </c>
      <c r="P22" s="417">
        <f aca="true" t="shared" si="16" ref="P22:S23">H22-X22</f>
        <v>44859259</v>
      </c>
      <c r="Q22" s="964">
        <f t="shared" si="16"/>
        <v>44859259</v>
      </c>
      <c r="R22" s="964">
        <f t="shared" si="16"/>
        <v>44850634</v>
      </c>
      <c r="S22" s="964">
        <f t="shared" si="16"/>
        <v>44850634</v>
      </c>
      <c r="T22" s="876">
        <f>S22/R22</f>
        <v>1</v>
      </c>
      <c r="U22" s="364">
        <v>0</v>
      </c>
      <c r="V22" s="298">
        <v>0</v>
      </c>
      <c r="W22" s="298">
        <v>0</v>
      </c>
      <c r="X22" s="298">
        <v>0</v>
      </c>
      <c r="Y22" s="298">
        <v>0</v>
      </c>
      <c r="Z22" s="298">
        <v>0</v>
      </c>
      <c r="AA22" s="298">
        <v>0</v>
      </c>
      <c r="AB22" s="876"/>
      <c r="AC22" s="886">
        <v>0</v>
      </c>
    </row>
    <row r="23" spans="1:29" s="5" customFormat="1" ht="36.75" customHeight="1">
      <c r="A23" s="126"/>
      <c r="B23" s="256"/>
      <c r="C23" s="106" t="s">
        <v>102</v>
      </c>
      <c r="D23" s="256" t="s">
        <v>566</v>
      </c>
      <c r="E23" s="416">
        <v>0</v>
      </c>
      <c r="F23" s="417">
        <v>0</v>
      </c>
      <c r="G23" s="417">
        <v>0</v>
      </c>
      <c r="H23" s="417">
        <v>1500000</v>
      </c>
      <c r="I23" s="964">
        <v>1500000</v>
      </c>
      <c r="J23" s="964">
        <v>1500000</v>
      </c>
      <c r="K23" s="964">
        <v>1500000</v>
      </c>
      <c r="L23" s="876">
        <f t="shared" si="13"/>
        <v>1</v>
      </c>
      <c r="M23" s="416">
        <v>0</v>
      </c>
      <c r="N23" s="417">
        <v>0</v>
      </c>
      <c r="O23" s="417">
        <v>0</v>
      </c>
      <c r="P23" s="417">
        <f t="shared" si="16"/>
        <v>0</v>
      </c>
      <c r="Q23" s="964">
        <f t="shared" si="16"/>
        <v>0</v>
      </c>
      <c r="R23" s="964">
        <f t="shared" si="16"/>
        <v>0</v>
      </c>
      <c r="S23" s="964">
        <f t="shared" si="16"/>
        <v>0</v>
      </c>
      <c r="T23" s="876"/>
      <c r="U23" s="416">
        <v>0</v>
      </c>
      <c r="V23" s="417">
        <v>0</v>
      </c>
      <c r="W23" s="417">
        <v>0</v>
      </c>
      <c r="X23" s="417">
        <f>'9.sz.m.átadott pe (3)'!Z93</f>
        <v>1500000</v>
      </c>
      <c r="Y23" s="417">
        <f>'9.sz.m.átadott pe (3)'!AA93</f>
        <v>1500000</v>
      </c>
      <c r="Z23" s="417">
        <f>'9.sz.m.átadott pe (3)'!AB93</f>
        <v>1500000</v>
      </c>
      <c r="AA23" s="417">
        <f>'9.sz.m.átadott pe (3)'!AC93</f>
        <v>1500000</v>
      </c>
      <c r="AB23" s="876">
        <f>AA23/Z23</f>
        <v>1</v>
      </c>
      <c r="AC23" s="885">
        <v>0</v>
      </c>
    </row>
    <row r="24" spans="1:29" s="5" customFormat="1" ht="22.5" customHeight="1" thickBot="1">
      <c r="A24" s="281"/>
      <c r="B24" s="282"/>
      <c r="C24" s="283" t="s">
        <v>215</v>
      </c>
      <c r="D24" s="282" t="s">
        <v>216</v>
      </c>
      <c r="E24" s="419">
        <v>0</v>
      </c>
      <c r="F24" s="418">
        <v>0</v>
      </c>
      <c r="G24" s="418">
        <v>0</v>
      </c>
      <c r="H24" s="418">
        <v>0</v>
      </c>
      <c r="I24" s="966">
        <v>0</v>
      </c>
      <c r="J24" s="966">
        <v>0</v>
      </c>
      <c r="K24" s="966">
        <v>0</v>
      </c>
      <c r="L24" s="878"/>
      <c r="M24" s="419">
        <v>0</v>
      </c>
      <c r="N24" s="418">
        <v>0</v>
      </c>
      <c r="O24" s="418">
        <v>0</v>
      </c>
      <c r="P24" s="418">
        <v>0</v>
      </c>
      <c r="Q24" s="966">
        <v>0</v>
      </c>
      <c r="R24" s="966">
        <v>0</v>
      </c>
      <c r="S24" s="966">
        <v>0</v>
      </c>
      <c r="T24" s="878"/>
      <c r="U24" s="419">
        <v>0</v>
      </c>
      <c r="V24" s="418">
        <v>0</v>
      </c>
      <c r="W24" s="418">
        <v>0</v>
      </c>
      <c r="X24" s="418">
        <v>0</v>
      </c>
      <c r="Y24" s="418">
        <v>0</v>
      </c>
      <c r="Z24" s="418">
        <v>0</v>
      </c>
      <c r="AA24" s="418">
        <v>0</v>
      </c>
      <c r="AB24" s="878"/>
      <c r="AC24" s="888">
        <v>0</v>
      </c>
    </row>
    <row r="25" spans="1:29" s="5" customFormat="1" ht="22.5" customHeight="1" thickBot="1">
      <c r="A25" s="114" t="s">
        <v>10</v>
      </c>
      <c r="B25" s="1329" t="s">
        <v>103</v>
      </c>
      <c r="C25" s="1329"/>
      <c r="D25" s="1329"/>
      <c r="E25" s="370">
        <f aca="true" t="shared" si="17" ref="E25:J25">SUM(E26:E28)</f>
        <v>87607657</v>
      </c>
      <c r="F25" s="78">
        <f t="shared" si="17"/>
        <v>58656600</v>
      </c>
      <c r="G25" s="78">
        <f t="shared" si="17"/>
        <v>59503503</v>
      </c>
      <c r="H25" s="78">
        <f t="shared" si="17"/>
        <v>19959710</v>
      </c>
      <c r="I25" s="862">
        <f t="shared" si="17"/>
        <v>19982585</v>
      </c>
      <c r="J25" s="862">
        <f t="shared" si="17"/>
        <v>0</v>
      </c>
      <c r="K25" s="862">
        <f>SUM(K26:K28)</f>
        <v>0</v>
      </c>
      <c r="L25" s="744"/>
      <c r="M25" s="370">
        <f aca="true" t="shared" si="18" ref="M25:R25">SUM(M26:M28)</f>
        <v>87607657</v>
      </c>
      <c r="N25" s="78">
        <f t="shared" si="18"/>
        <v>58656600</v>
      </c>
      <c r="O25" s="78">
        <f t="shared" si="18"/>
        <v>59503503</v>
      </c>
      <c r="P25" s="78">
        <f t="shared" si="18"/>
        <v>19959710</v>
      </c>
      <c r="Q25" s="862">
        <f t="shared" si="18"/>
        <v>19982585</v>
      </c>
      <c r="R25" s="862">
        <f t="shared" si="18"/>
        <v>0</v>
      </c>
      <c r="S25" s="862">
        <f>SUM(S26:S28)</f>
        <v>0</v>
      </c>
      <c r="T25" s="744"/>
      <c r="U25" s="370">
        <f aca="true" t="shared" si="19" ref="U25:Z25">SUM(U26:U28)</f>
        <v>0</v>
      </c>
      <c r="V25" s="78">
        <f t="shared" si="19"/>
        <v>0</v>
      </c>
      <c r="W25" s="78">
        <f t="shared" si="19"/>
        <v>0</v>
      </c>
      <c r="X25" s="78">
        <f t="shared" si="19"/>
        <v>0</v>
      </c>
      <c r="Y25" s="78">
        <f t="shared" si="19"/>
        <v>0</v>
      </c>
      <c r="Z25" s="78">
        <f t="shared" si="19"/>
        <v>0</v>
      </c>
      <c r="AA25" s="78">
        <f>SUM(AA26:AA28)</f>
        <v>0</v>
      </c>
      <c r="AB25" s="744"/>
      <c r="AC25" s="962">
        <f>SUM(AC26:AC28)</f>
        <v>0</v>
      </c>
    </row>
    <row r="26" spans="1:29" s="5" customFormat="1" ht="22.5" customHeight="1">
      <c r="A26" s="113"/>
      <c r="B26" s="118" t="s">
        <v>44</v>
      </c>
      <c r="C26" s="1336" t="s">
        <v>3</v>
      </c>
      <c r="D26" s="1336"/>
      <c r="E26" s="369">
        <v>87607657</v>
      </c>
      <c r="F26" s="301">
        <f>87607657-181057-28770000</f>
        <v>58656600</v>
      </c>
      <c r="G26" s="301">
        <f>87607657-181057-28770000+846903</f>
        <v>59503503</v>
      </c>
      <c r="H26" s="301">
        <f>87607657-181057-28770000+846903-37935474-200000-1884319-1524000+2000000</f>
        <v>19959710</v>
      </c>
      <c r="I26" s="861">
        <f>87607657-181057-28770000+846903-37935474-200000-1884319-1524000+2000000+22875</f>
        <v>19982585</v>
      </c>
      <c r="J26" s="861">
        <v>0</v>
      </c>
      <c r="K26" s="861">
        <v>0</v>
      </c>
      <c r="L26" s="745"/>
      <c r="M26" s="369">
        <f aca="true" t="shared" si="20" ref="M26:S26">E26</f>
        <v>87607657</v>
      </c>
      <c r="N26" s="301">
        <f t="shared" si="20"/>
        <v>58656600</v>
      </c>
      <c r="O26" s="301">
        <f t="shared" si="20"/>
        <v>59503503</v>
      </c>
      <c r="P26" s="301">
        <f t="shared" si="20"/>
        <v>19959710</v>
      </c>
      <c r="Q26" s="861">
        <f t="shared" si="20"/>
        <v>19982585</v>
      </c>
      <c r="R26" s="861">
        <f t="shared" si="20"/>
        <v>0</v>
      </c>
      <c r="S26" s="861">
        <f t="shared" si="20"/>
        <v>0</v>
      </c>
      <c r="T26" s="745"/>
      <c r="U26" s="369">
        <v>0</v>
      </c>
      <c r="V26" s="301">
        <v>0</v>
      </c>
      <c r="W26" s="301">
        <v>0</v>
      </c>
      <c r="X26" s="301">
        <v>0</v>
      </c>
      <c r="Y26" s="301">
        <v>0</v>
      </c>
      <c r="Z26" s="301">
        <v>0</v>
      </c>
      <c r="AA26" s="301">
        <v>0</v>
      </c>
      <c r="AB26" s="745"/>
      <c r="AC26" s="884">
        <v>0</v>
      </c>
    </row>
    <row r="27" spans="1:29" s="8" customFormat="1" ht="22.5" customHeight="1">
      <c r="A27" s="127"/>
      <c r="B27" s="105" t="s">
        <v>45</v>
      </c>
      <c r="C27" s="1347" t="s">
        <v>294</v>
      </c>
      <c r="D27" s="1347"/>
      <c r="E27" s="364">
        <v>0</v>
      </c>
      <c r="F27" s="298">
        <v>0</v>
      </c>
      <c r="G27" s="298">
        <v>0</v>
      </c>
      <c r="H27" s="298">
        <v>0</v>
      </c>
      <c r="I27" s="965">
        <v>0</v>
      </c>
      <c r="J27" s="965">
        <v>0</v>
      </c>
      <c r="K27" s="965">
        <v>0</v>
      </c>
      <c r="L27" s="877"/>
      <c r="M27" s="364">
        <v>0</v>
      </c>
      <c r="N27" s="298">
        <v>0</v>
      </c>
      <c r="O27" s="298">
        <v>0</v>
      </c>
      <c r="P27" s="298">
        <v>0</v>
      </c>
      <c r="Q27" s="965">
        <v>0</v>
      </c>
      <c r="R27" s="965">
        <v>0</v>
      </c>
      <c r="S27" s="965">
        <v>0</v>
      </c>
      <c r="T27" s="877"/>
      <c r="U27" s="364">
        <v>0</v>
      </c>
      <c r="V27" s="298">
        <v>0</v>
      </c>
      <c r="W27" s="298">
        <v>0</v>
      </c>
      <c r="X27" s="298">
        <v>0</v>
      </c>
      <c r="Y27" s="298">
        <v>0</v>
      </c>
      <c r="Z27" s="298">
        <v>0</v>
      </c>
      <c r="AA27" s="298">
        <v>0</v>
      </c>
      <c r="AB27" s="877"/>
      <c r="AC27" s="886">
        <v>0</v>
      </c>
    </row>
    <row r="28" spans="1:29" s="8" customFormat="1" ht="22.5" customHeight="1" thickBot="1">
      <c r="A28" s="133"/>
      <c r="B28" s="119" t="s">
        <v>71</v>
      </c>
      <c r="C28" s="134" t="s">
        <v>104</v>
      </c>
      <c r="D28" s="134"/>
      <c r="E28" s="383">
        <v>0</v>
      </c>
      <c r="F28" s="384">
        <v>0</v>
      </c>
      <c r="G28" s="384">
        <v>0</v>
      </c>
      <c r="H28" s="384">
        <v>0</v>
      </c>
      <c r="I28" s="967">
        <v>0</v>
      </c>
      <c r="J28" s="967">
        <v>0</v>
      </c>
      <c r="K28" s="967">
        <v>0</v>
      </c>
      <c r="L28" s="879"/>
      <c r="M28" s="383">
        <v>0</v>
      </c>
      <c r="N28" s="384">
        <v>0</v>
      </c>
      <c r="O28" s="384">
        <v>0</v>
      </c>
      <c r="P28" s="384">
        <v>0</v>
      </c>
      <c r="Q28" s="967">
        <v>0</v>
      </c>
      <c r="R28" s="967">
        <v>0</v>
      </c>
      <c r="S28" s="967">
        <v>0</v>
      </c>
      <c r="T28" s="879"/>
      <c r="U28" s="383">
        <v>0</v>
      </c>
      <c r="V28" s="384">
        <v>0</v>
      </c>
      <c r="W28" s="384">
        <v>0</v>
      </c>
      <c r="X28" s="384">
        <v>0</v>
      </c>
      <c r="Y28" s="384">
        <v>0</v>
      </c>
      <c r="Z28" s="384">
        <v>0</v>
      </c>
      <c r="AA28" s="384">
        <v>0</v>
      </c>
      <c r="AB28" s="879"/>
      <c r="AC28" s="889">
        <v>0</v>
      </c>
    </row>
    <row r="29" spans="1:29" s="79" customFormat="1" ht="22.5" customHeight="1" thickBot="1">
      <c r="A29" s="94" t="s">
        <v>11</v>
      </c>
      <c r="B29" s="120" t="s">
        <v>105</v>
      </c>
      <c r="C29" s="120"/>
      <c r="D29" s="120"/>
      <c r="E29" s="371">
        <v>0</v>
      </c>
      <c r="F29" s="372">
        <v>0</v>
      </c>
      <c r="G29" s="372">
        <v>0</v>
      </c>
      <c r="H29" s="372">
        <v>0</v>
      </c>
      <c r="I29" s="863">
        <v>0</v>
      </c>
      <c r="J29" s="863">
        <v>0</v>
      </c>
      <c r="K29" s="863">
        <v>0</v>
      </c>
      <c r="L29" s="746"/>
      <c r="M29" s="371">
        <v>0</v>
      </c>
      <c r="N29" s="372">
        <v>0</v>
      </c>
      <c r="O29" s="372">
        <v>0</v>
      </c>
      <c r="P29" s="372">
        <v>0</v>
      </c>
      <c r="Q29" s="863">
        <v>0</v>
      </c>
      <c r="R29" s="863">
        <v>0</v>
      </c>
      <c r="S29" s="863">
        <v>0</v>
      </c>
      <c r="T29" s="746"/>
      <c r="U29" s="371">
        <v>0</v>
      </c>
      <c r="V29" s="372">
        <v>0</v>
      </c>
      <c r="W29" s="372">
        <v>0</v>
      </c>
      <c r="X29" s="372">
        <v>0</v>
      </c>
      <c r="Y29" s="372">
        <v>0</v>
      </c>
      <c r="Z29" s="372">
        <v>0</v>
      </c>
      <c r="AA29" s="372">
        <v>0</v>
      </c>
      <c r="AB29" s="746"/>
      <c r="AC29" s="890">
        <v>0</v>
      </c>
    </row>
    <row r="30" spans="1:29" s="79" customFormat="1" ht="22.5" customHeight="1" hidden="1" thickBot="1">
      <c r="A30" s="114"/>
      <c r="B30" s="1329"/>
      <c r="C30" s="1329"/>
      <c r="D30" s="1329"/>
      <c r="E30" s="778"/>
      <c r="F30" s="779"/>
      <c r="G30" s="779"/>
      <c r="H30" s="779"/>
      <c r="I30" s="968"/>
      <c r="J30" s="968"/>
      <c r="K30" s="968"/>
      <c r="L30" s="880"/>
      <c r="M30" s="778"/>
      <c r="N30" s="779"/>
      <c r="O30" s="779"/>
      <c r="P30" s="779"/>
      <c r="Q30" s="968"/>
      <c r="R30" s="968"/>
      <c r="S30" s="968"/>
      <c r="T30" s="880"/>
      <c r="U30" s="778"/>
      <c r="V30" s="779"/>
      <c r="W30" s="779"/>
      <c r="X30" s="779"/>
      <c r="Y30" s="779"/>
      <c r="Z30" s="779"/>
      <c r="AA30" s="779"/>
      <c r="AB30" s="880"/>
      <c r="AC30" s="961">
        <v>0</v>
      </c>
    </row>
    <row r="31" spans="1:29" s="79" customFormat="1" ht="22.5" customHeight="1" thickBot="1">
      <c r="A31" s="114" t="s">
        <v>12</v>
      </c>
      <c r="B31" s="1307" t="s">
        <v>106</v>
      </c>
      <c r="C31" s="1307"/>
      <c r="D31" s="1307"/>
      <c r="E31" s="368">
        <f aca="true" t="shared" si="21" ref="E31:J31">E6+E17+E25+E29</f>
        <v>386561418</v>
      </c>
      <c r="F31" s="299">
        <f t="shared" si="21"/>
        <v>357791418</v>
      </c>
      <c r="G31" s="299">
        <f t="shared" si="21"/>
        <v>357124182</v>
      </c>
      <c r="H31" s="299">
        <f t="shared" si="21"/>
        <v>372614537</v>
      </c>
      <c r="I31" s="860">
        <f t="shared" si="21"/>
        <v>371736851</v>
      </c>
      <c r="J31" s="860">
        <f t="shared" si="21"/>
        <v>438164761</v>
      </c>
      <c r="K31" s="860">
        <f>K6+K17+K25+K29</f>
        <v>313312401</v>
      </c>
      <c r="L31" s="744">
        <f>K31/J31</f>
        <v>0.7150561361551392</v>
      </c>
      <c r="M31" s="368">
        <f aca="true" t="shared" si="22" ref="M31:R31">M6+M17+M25</f>
        <v>365913625</v>
      </c>
      <c r="N31" s="299">
        <f t="shared" si="22"/>
        <v>337143625</v>
      </c>
      <c r="O31" s="299">
        <f t="shared" si="22"/>
        <v>336466389</v>
      </c>
      <c r="P31" s="299">
        <f t="shared" si="22"/>
        <v>350226744</v>
      </c>
      <c r="Q31" s="860">
        <f t="shared" si="22"/>
        <v>349349058</v>
      </c>
      <c r="R31" s="860">
        <f t="shared" si="22"/>
        <v>415564428</v>
      </c>
      <c r="S31" s="860">
        <f>S6+S17+S25</f>
        <v>294134584</v>
      </c>
      <c r="T31" s="744">
        <f>S31/R31</f>
        <v>0.7077953842574802</v>
      </c>
      <c r="U31" s="368">
        <f aca="true" t="shared" si="23" ref="U31:Z31">U6+U17+U25+U29+U35</f>
        <v>20647793</v>
      </c>
      <c r="V31" s="299">
        <f t="shared" si="23"/>
        <v>20647793</v>
      </c>
      <c r="W31" s="299">
        <f t="shared" si="23"/>
        <v>20657793</v>
      </c>
      <c r="X31" s="299">
        <f t="shared" si="23"/>
        <v>22387793</v>
      </c>
      <c r="Y31" s="299">
        <f t="shared" si="23"/>
        <v>22387793</v>
      </c>
      <c r="Z31" s="299">
        <f t="shared" si="23"/>
        <v>22600333</v>
      </c>
      <c r="AA31" s="299">
        <f>AA6+AA17+AA25+AA29+AA35</f>
        <v>19177817</v>
      </c>
      <c r="AB31" s="744">
        <f>AA31/Z31</f>
        <v>0.8485634702816105</v>
      </c>
      <c r="AC31" s="961">
        <f>AC6+AC17+AC25+AC29+AC30</f>
        <v>0</v>
      </c>
    </row>
    <row r="32" spans="1:29" s="79" customFormat="1" ht="22.5" customHeight="1" thickBot="1">
      <c r="A32" s="92" t="s">
        <v>13</v>
      </c>
      <c r="B32" s="1328" t="s">
        <v>107</v>
      </c>
      <c r="C32" s="1328"/>
      <c r="D32" s="1328"/>
      <c r="E32" s="373">
        <f aca="true" t="shared" si="24" ref="E32:J32">SUM(E33:E36)</f>
        <v>196471497</v>
      </c>
      <c r="F32" s="117">
        <f t="shared" si="24"/>
        <v>225241497</v>
      </c>
      <c r="G32" s="117">
        <f t="shared" si="24"/>
        <v>225243997</v>
      </c>
      <c r="H32" s="117">
        <f t="shared" si="24"/>
        <v>226133870</v>
      </c>
      <c r="I32" s="864">
        <f t="shared" si="24"/>
        <v>227229803</v>
      </c>
      <c r="J32" s="864">
        <f t="shared" si="24"/>
        <v>215044003</v>
      </c>
      <c r="K32" s="864">
        <f>SUM(K33:K36)</f>
        <v>214288068</v>
      </c>
      <c r="L32" s="744">
        <f>K32/J32</f>
        <v>0.9964847427063567</v>
      </c>
      <c r="M32" s="373">
        <f aca="true" t="shared" si="25" ref="M32:R32">SUM(M33:M36)</f>
        <v>196471497</v>
      </c>
      <c r="N32" s="117">
        <f t="shared" si="25"/>
        <v>225241497</v>
      </c>
      <c r="O32" s="117">
        <f t="shared" si="25"/>
        <v>225243997</v>
      </c>
      <c r="P32" s="117">
        <f t="shared" si="25"/>
        <v>226133870</v>
      </c>
      <c r="Q32" s="864">
        <f t="shared" si="25"/>
        <v>227229803</v>
      </c>
      <c r="R32" s="864">
        <f t="shared" si="25"/>
        <v>215044003</v>
      </c>
      <c r="S32" s="864">
        <f>SUM(S33:S36)</f>
        <v>214288068</v>
      </c>
      <c r="T32" s="744">
        <f>S32/R32</f>
        <v>0.9964847427063567</v>
      </c>
      <c r="U32" s="373">
        <f aca="true" t="shared" si="26" ref="U32:Z32">SUM(U33:U35)</f>
        <v>0</v>
      </c>
      <c r="V32" s="117">
        <f t="shared" si="26"/>
        <v>0</v>
      </c>
      <c r="W32" s="117">
        <f t="shared" si="26"/>
        <v>0</v>
      </c>
      <c r="X32" s="117">
        <f t="shared" si="26"/>
        <v>0</v>
      </c>
      <c r="Y32" s="117">
        <f t="shared" si="26"/>
        <v>0</v>
      </c>
      <c r="Z32" s="117">
        <f t="shared" si="26"/>
        <v>0</v>
      </c>
      <c r="AA32" s="117">
        <f>SUM(AA33:AA35)</f>
        <v>0</v>
      </c>
      <c r="AB32" s="744"/>
      <c r="AC32" s="963"/>
    </row>
    <row r="33" spans="1:29" s="5" customFormat="1" ht="22.5" customHeight="1">
      <c r="A33" s="136"/>
      <c r="B33" s="118" t="s">
        <v>48</v>
      </c>
      <c r="C33" s="1374" t="s">
        <v>296</v>
      </c>
      <c r="D33" s="1374"/>
      <c r="E33" s="369"/>
      <c r="F33" s="301"/>
      <c r="G33" s="301"/>
      <c r="H33" s="301">
        <v>755935</v>
      </c>
      <c r="I33" s="861">
        <v>755935</v>
      </c>
      <c r="J33" s="861">
        <v>755935</v>
      </c>
      <c r="K33" s="861">
        <v>0</v>
      </c>
      <c r="L33" s="876">
        <f>K33/J33</f>
        <v>0</v>
      </c>
      <c r="M33" s="369"/>
      <c r="N33" s="301"/>
      <c r="O33" s="301"/>
      <c r="P33" s="301">
        <f>H33-X33</f>
        <v>755935</v>
      </c>
      <c r="Q33" s="861">
        <f>I33-Y33</f>
        <v>755935</v>
      </c>
      <c r="R33" s="861">
        <f>J33-Z33</f>
        <v>755935</v>
      </c>
      <c r="S33" s="861">
        <f>K33-AA33</f>
        <v>0</v>
      </c>
      <c r="T33" s="876">
        <f>S33/R33</f>
        <v>0</v>
      </c>
      <c r="U33" s="369"/>
      <c r="V33" s="301"/>
      <c r="W33" s="301"/>
      <c r="X33" s="301"/>
      <c r="Y33" s="301"/>
      <c r="Z33" s="301"/>
      <c r="AA33" s="301"/>
      <c r="AB33" s="876"/>
      <c r="AC33" s="884"/>
    </row>
    <row r="34" spans="1:29" s="5" customFormat="1" ht="22.5" customHeight="1">
      <c r="A34" s="96"/>
      <c r="B34" s="105" t="s">
        <v>339</v>
      </c>
      <c r="C34" s="1327" t="s">
        <v>541</v>
      </c>
      <c r="D34" s="1327"/>
      <c r="E34" s="416"/>
      <c r="F34" s="417">
        <v>28770000</v>
      </c>
      <c r="G34" s="417">
        <v>28770000</v>
      </c>
      <c r="H34" s="417">
        <v>28770000</v>
      </c>
      <c r="I34" s="964">
        <v>28770000</v>
      </c>
      <c r="J34" s="964">
        <v>28770000</v>
      </c>
      <c r="K34" s="964">
        <v>28770000</v>
      </c>
      <c r="L34" s="876">
        <f>K34/J34</f>
        <v>1</v>
      </c>
      <c r="M34" s="416"/>
      <c r="N34" s="417">
        <v>28770000</v>
      </c>
      <c r="O34" s="417">
        <v>28770000</v>
      </c>
      <c r="P34" s="417">
        <v>28770000</v>
      </c>
      <c r="Q34" s="964">
        <v>28770000</v>
      </c>
      <c r="R34" s="964">
        <v>28770000</v>
      </c>
      <c r="S34" s="964">
        <v>28770000</v>
      </c>
      <c r="T34" s="876">
        <f>S34/R34</f>
        <v>1</v>
      </c>
      <c r="U34" s="416"/>
      <c r="V34" s="417"/>
      <c r="W34" s="417"/>
      <c r="X34" s="417"/>
      <c r="Y34" s="417"/>
      <c r="Z34" s="417"/>
      <c r="AA34" s="417"/>
      <c r="AB34" s="876"/>
      <c r="AC34" s="887"/>
    </row>
    <row r="35" spans="1:29" s="5" customFormat="1" ht="22.5" customHeight="1" thickBot="1">
      <c r="A35" s="636"/>
      <c r="B35" s="637" t="s">
        <v>474</v>
      </c>
      <c r="C35" s="638" t="s">
        <v>295</v>
      </c>
      <c r="D35" s="638"/>
      <c r="E35" s="639">
        <v>187507276</v>
      </c>
      <c r="F35" s="647">
        <v>187507276</v>
      </c>
      <c r="G35" s="647">
        <f>187507276+2500</f>
        <v>187509776</v>
      </c>
      <c r="H35" s="647">
        <f>187507276+2500+133938</f>
        <v>187643714</v>
      </c>
      <c r="I35" s="969">
        <f>187507276+2500+133938+1095933</f>
        <v>188739647</v>
      </c>
      <c r="J35" s="969">
        <v>176553847</v>
      </c>
      <c r="K35" s="969">
        <v>176553847</v>
      </c>
      <c r="L35" s="876">
        <f>K35/J35</f>
        <v>1</v>
      </c>
      <c r="M35" s="639">
        <f aca="true" t="shared" si="27" ref="M35:S36">E35</f>
        <v>187507276</v>
      </c>
      <c r="N35" s="647">
        <f t="shared" si="27"/>
        <v>187507276</v>
      </c>
      <c r="O35" s="647">
        <f t="shared" si="27"/>
        <v>187509776</v>
      </c>
      <c r="P35" s="647">
        <f t="shared" si="27"/>
        <v>187643714</v>
      </c>
      <c r="Q35" s="969">
        <f t="shared" si="27"/>
        <v>188739647</v>
      </c>
      <c r="R35" s="969">
        <f t="shared" si="27"/>
        <v>176553847</v>
      </c>
      <c r="S35" s="969">
        <f t="shared" si="27"/>
        <v>176553847</v>
      </c>
      <c r="T35" s="876">
        <f>S35/R35</f>
        <v>1</v>
      </c>
      <c r="U35" s="639">
        <v>0</v>
      </c>
      <c r="V35" s="647">
        <v>0</v>
      </c>
      <c r="W35" s="647">
        <v>0</v>
      </c>
      <c r="X35" s="647">
        <v>0</v>
      </c>
      <c r="Y35" s="647">
        <v>0</v>
      </c>
      <c r="Z35" s="647">
        <v>0</v>
      </c>
      <c r="AA35" s="647">
        <v>0</v>
      </c>
      <c r="AB35" s="876"/>
      <c r="AC35" s="888"/>
    </row>
    <row r="36" spans="1:29" s="5" customFormat="1" ht="22.5" customHeight="1" thickBot="1">
      <c r="A36" s="636"/>
      <c r="B36" s="637" t="s">
        <v>537</v>
      </c>
      <c r="C36" s="638" t="s">
        <v>473</v>
      </c>
      <c r="D36" s="638"/>
      <c r="E36" s="639">
        <v>8964221</v>
      </c>
      <c r="F36" s="647">
        <v>8964221</v>
      </c>
      <c r="G36" s="647">
        <v>8964221</v>
      </c>
      <c r="H36" s="647">
        <v>8964221</v>
      </c>
      <c r="I36" s="969">
        <v>8964221</v>
      </c>
      <c r="J36" s="969">
        <v>8964221</v>
      </c>
      <c r="K36" s="969">
        <v>8964221</v>
      </c>
      <c r="L36" s="881"/>
      <c r="M36" s="639">
        <f t="shared" si="27"/>
        <v>8964221</v>
      </c>
      <c r="N36" s="647">
        <f t="shared" si="27"/>
        <v>8964221</v>
      </c>
      <c r="O36" s="647">
        <f t="shared" si="27"/>
        <v>8964221</v>
      </c>
      <c r="P36" s="647">
        <f t="shared" si="27"/>
        <v>8964221</v>
      </c>
      <c r="Q36" s="969">
        <f t="shared" si="27"/>
        <v>8964221</v>
      </c>
      <c r="R36" s="969">
        <f t="shared" si="27"/>
        <v>8964221</v>
      </c>
      <c r="S36" s="969">
        <f t="shared" si="27"/>
        <v>8964221</v>
      </c>
      <c r="T36" s="881"/>
      <c r="U36" s="639"/>
      <c r="V36" s="647"/>
      <c r="W36" s="647"/>
      <c r="X36" s="647"/>
      <c r="Y36" s="647"/>
      <c r="Z36" s="647"/>
      <c r="AA36" s="647"/>
      <c r="AB36" s="881"/>
      <c r="AC36" s="888"/>
    </row>
    <row r="37" spans="1:29" s="5" customFormat="1" ht="22.5" customHeight="1" thickBot="1">
      <c r="A37" s="114" t="s">
        <v>538</v>
      </c>
      <c r="B37" s="1307" t="s">
        <v>248</v>
      </c>
      <c r="C37" s="1307"/>
      <c r="D37" s="1307"/>
      <c r="E37" s="370">
        <f aca="true" t="shared" si="28" ref="E37:J37">E31+E32</f>
        <v>583032915</v>
      </c>
      <c r="F37" s="78">
        <f t="shared" si="28"/>
        <v>583032915</v>
      </c>
      <c r="G37" s="78">
        <f t="shared" si="28"/>
        <v>582368179</v>
      </c>
      <c r="H37" s="78">
        <f t="shared" si="28"/>
        <v>598748407</v>
      </c>
      <c r="I37" s="862">
        <f t="shared" si="28"/>
        <v>598966654</v>
      </c>
      <c r="J37" s="862">
        <f t="shared" si="28"/>
        <v>653208764</v>
      </c>
      <c r="K37" s="862">
        <f>K31+K32</f>
        <v>527600469</v>
      </c>
      <c r="L37" s="744">
        <f>K37/J37</f>
        <v>0.8077057413761215</v>
      </c>
      <c r="M37" s="370">
        <f aca="true" t="shared" si="29" ref="M37:R37">M31+M32</f>
        <v>562385122</v>
      </c>
      <c r="N37" s="78">
        <f t="shared" si="29"/>
        <v>562385122</v>
      </c>
      <c r="O37" s="78">
        <f t="shared" si="29"/>
        <v>561710386</v>
      </c>
      <c r="P37" s="78">
        <f t="shared" si="29"/>
        <v>576360614</v>
      </c>
      <c r="Q37" s="862">
        <f t="shared" si="29"/>
        <v>576578861</v>
      </c>
      <c r="R37" s="862">
        <f t="shared" si="29"/>
        <v>630608431</v>
      </c>
      <c r="S37" s="862">
        <f>S31+S32</f>
        <v>508422652</v>
      </c>
      <c r="T37" s="744">
        <f>S37/R37</f>
        <v>0.806241443987291</v>
      </c>
      <c r="U37" s="370">
        <f aca="true" t="shared" si="30" ref="U37:Z37">U31+U32</f>
        <v>20647793</v>
      </c>
      <c r="V37" s="78">
        <f t="shared" si="30"/>
        <v>20647793</v>
      </c>
      <c r="W37" s="78">
        <f t="shared" si="30"/>
        <v>20657793</v>
      </c>
      <c r="X37" s="78">
        <f t="shared" si="30"/>
        <v>22387793</v>
      </c>
      <c r="Y37" s="78">
        <f t="shared" si="30"/>
        <v>22387793</v>
      </c>
      <c r="Z37" s="78">
        <f t="shared" si="30"/>
        <v>22600333</v>
      </c>
      <c r="AA37" s="78">
        <f>AA31+AA32</f>
        <v>19177817</v>
      </c>
      <c r="AB37" s="744">
        <f>AA37/Z37</f>
        <v>0.8485634702816105</v>
      </c>
      <c r="AC37" s="985">
        <f>AC31+AC32</f>
        <v>0</v>
      </c>
    </row>
    <row r="38" spans="1:28" s="5" customFormat="1" ht="19.5" customHeight="1" hidden="1" thickBot="1">
      <c r="A38" s="1302" t="s">
        <v>249</v>
      </c>
      <c r="B38" s="1303"/>
      <c r="C38" s="1303"/>
      <c r="D38" s="1303"/>
      <c r="E38" s="578"/>
      <c r="F38" s="579"/>
      <c r="G38" s="579"/>
      <c r="H38" s="579"/>
      <c r="I38" s="970"/>
      <c r="J38" s="970"/>
      <c r="K38" s="970"/>
      <c r="L38" s="580" t="e">
        <f>I38/H38</f>
        <v>#DIV/0!</v>
      </c>
      <c r="M38" s="578"/>
      <c r="N38" s="579"/>
      <c r="O38" s="579"/>
      <c r="P38" s="579"/>
      <c r="Q38" s="970"/>
      <c r="R38" s="970"/>
      <c r="S38" s="970"/>
      <c r="T38" s="580" t="e">
        <f>Q38/P38</f>
        <v>#DIV/0!</v>
      </c>
      <c r="U38" s="578"/>
      <c r="V38" s="579"/>
      <c r="W38" s="579"/>
      <c r="X38" s="579"/>
      <c r="Y38" s="579"/>
      <c r="Z38" s="579"/>
      <c r="AA38" s="579"/>
      <c r="AB38" s="580" t="e">
        <f>Y38/X38</f>
        <v>#DIV/0!</v>
      </c>
    </row>
    <row r="39" spans="1:28" s="5" customFormat="1" ht="19.5" customHeight="1" thickBot="1">
      <c r="A39" s="1306" t="s">
        <v>8</v>
      </c>
      <c r="B39" s="1307"/>
      <c r="C39" s="1307"/>
      <c r="D39" s="1307"/>
      <c r="E39" s="420">
        <f aca="true" t="shared" si="31" ref="E39:J39">SUM(E37:E38)</f>
        <v>583032915</v>
      </c>
      <c r="F39" s="421">
        <f t="shared" si="31"/>
        <v>583032915</v>
      </c>
      <c r="G39" s="421">
        <f t="shared" si="31"/>
        <v>582368179</v>
      </c>
      <c r="H39" s="421">
        <f t="shared" si="31"/>
        <v>598748407</v>
      </c>
      <c r="I39" s="971">
        <f t="shared" si="31"/>
        <v>598966654</v>
      </c>
      <c r="J39" s="971">
        <f t="shared" si="31"/>
        <v>653208764</v>
      </c>
      <c r="K39" s="971">
        <f>SUM(K37:K38)</f>
        <v>527600469</v>
      </c>
      <c r="L39" s="744">
        <f>K39/J39</f>
        <v>0.8077057413761215</v>
      </c>
      <c r="M39" s="420">
        <f aca="true" t="shared" si="32" ref="M39:R39">SUM(M37:M38)</f>
        <v>562385122</v>
      </c>
      <c r="N39" s="421">
        <f t="shared" si="32"/>
        <v>562385122</v>
      </c>
      <c r="O39" s="421">
        <f t="shared" si="32"/>
        <v>561710386</v>
      </c>
      <c r="P39" s="421">
        <f t="shared" si="32"/>
        <v>576360614</v>
      </c>
      <c r="Q39" s="971">
        <f t="shared" si="32"/>
        <v>576578861</v>
      </c>
      <c r="R39" s="971">
        <f t="shared" si="32"/>
        <v>630608431</v>
      </c>
      <c r="S39" s="971">
        <f>SUM(S37:S38)</f>
        <v>508422652</v>
      </c>
      <c r="T39" s="744">
        <f>S39/R39</f>
        <v>0.806241443987291</v>
      </c>
      <c r="U39" s="420">
        <f aca="true" t="shared" si="33" ref="U39:Z39">SUM(U37:U38)</f>
        <v>20647793</v>
      </c>
      <c r="V39" s="421">
        <f t="shared" si="33"/>
        <v>20647793</v>
      </c>
      <c r="W39" s="421">
        <f t="shared" si="33"/>
        <v>20657793</v>
      </c>
      <c r="X39" s="421">
        <f t="shared" si="33"/>
        <v>22387793</v>
      </c>
      <c r="Y39" s="421">
        <f t="shared" si="33"/>
        <v>22387793</v>
      </c>
      <c r="Z39" s="421">
        <f t="shared" si="33"/>
        <v>22600333</v>
      </c>
      <c r="AA39" s="421">
        <f>SUM(AA37:AA38)</f>
        <v>19177817</v>
      </c>
      <c r="AB39" s="744">
        <f>AA39/Z39</f>
        <v>0.8485634702816105</v>
      </c>
    </row>
    <row r="40" spans="1:28" s="5" customFormat="1" ht="19.5" customHeight="1">
      <c r="A40" s="469"/>
      <c r="B40" s="585"/>
      <c r="C40" s="469"/>
      <c r="D40" s="469"/>
      <c r="E40" s="586"/>
      <c r="F40" s="586"/>
      <c r="G40" s="586"/>
      <c r="H40" s="586"/>
      <c r="I40" s="586"/>
      <c r="J40" s="586"/>
      <c r="K40" s="586"/>
      <c r="L40" s="586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8"/>
      <c r="X40" s="588"/>
      <c r="Y40" s="588"/>
      <c r="Z40" s="588"/>
      <c r="AA40" s="588"/>
      <c r="AB40" s="588"/>
    </row>
    <row r="41" spans="1:22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6"/>
      <c r="M41" s="138"/>
      <c r="N41" s="138"/>
      <c r="O41" s="138"/>
      <c r="P41" s="138"/>
      <c r="Q41" s="138"/>
      <c r="R41" s="138"/>
      <c r="S41" s="138"/>
      <c r="T41" s="138"/>
      <c r="U41" s="138"/>
      <c r="V41" s="138"/>
    </row>
    <row r="42" spans="1:12" ht="15.75">
      <c r="A42" s="123"/>
      <c r="B42" s="64"/>
      <c r="C42" s="64"/>
      <c r="D42" s="30"/>
      <c r="E42" s="4"/>
      <c r="F42" s="4"/>
      <c r="G42" s="4"/>
      <c r="H42" s="4"/>
      <c r="I42" s="4"/>
      <c r="J42" s="4"/>
      <c r="K42" s="4"/>
      <c r="L42" s="4"/>
    </row>
    <row r="43" spans="1:12" ht="15.75">
      <c r="A43" s="123"/>
      <c r="B43" s="64"/>
      <c r="C43" s="64"/>
      <c r="D43" s="30"/>
      <c r="E43" s="4"/>
      <c r="F43" s="4"/>
      <c r="G43" s="4"/>
      <c r="H43" s="4"/>
      <c r="I43" s="4"/>
      <c r="J43" s="4"/>
      <c r="K43" s="4"/>
      <c r="L43" s="4"/>
    </row>
    <row r="44" spans="1:22" ht="15.75">
      <c r="A44" s="123"/>
      <c r="B44" s="1"/>
      <c r="C44" s="1"/>
      <c r="D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23"/>
      <c r="B45" s="1"/>
      <c r="C45" s="1"/>
      <c r="D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23"/>
      <c r="B46" s="1"/>
      <c r="C46" s="1"/>
      <c r="D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23"/>
      <c r="B47" s="1"/>
      <c r="C47" s="1"/>
      <c r="D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23"/>
      <c r="B48" s="1"/>
      <c r="C48" s="1"/>
      <c r="D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23"/>
      <c r="B49" s="1"/>
      <c r="C49" s="1"/>
      <c r="D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23"/>
      <c r="B50" s="1"/>
      <c r="C50" s="1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12" ht="15.75">
      <c r="A51" s="123"/>
      <c r="B51" s="64"/>
      <c r="C51" s="64"/>
      <c r="D51" s="30"/>
      <c r="E51" s="3"/>
      <c r="F51" s="3"/>
      <c r="G51" s="3"/>
      <c r="H51" s="3"/>
      <c r="I51" s="3"/>
      <c r="J51" s="3"/>
      <c r="K51" s="3"/>
      <c r="L51" s="3"/>
    </row>
    <row r="52" spans="1:12" ht="15.75">
      <c r="A52" s="123"/>
      <c r="B52" s="64"/>
      <c r="C52" s="64"/>
      <c r="D52" s="30"/>
      <c r="E52" s="3"/>
      <c r="F52" s="3"/>
      <c r="G52" s="3"/>
      <c r="H52" s="3"/>
      <c r="I52" s="3"/>
      <c r="J52" s="3"/>
      <c r="K52" s="3"/>
      <c r="L52" s="3"/>
    </row>
    <row r="53" spans="1:12" ht="15.75">
      <c r="A53" s="123"/>
      <c r="B53" s="64"/>
      <c r="C53" s="64"/>
      <c r="D53" s="30"/>
      <c r="E53" s="3"/>
      <c r="F53" s="3"/>
      <c r="G53" s="3"/>
      <c r="H53" s="3"/>
      <c r="I53" s="3"/>
      <c r="J53" s="3"/>
      <c r="K53" s="3"/>
      <c r="L53" s="3"/>
    </row>
    <row r="54" spans="1:12" ht="15.75">
      <c r="A54" s="123"/>
      <c r="B54" s="64"/>
      <c r="C54" s="64"/>
      <c r="D54" s="30"/>
      <c r="E54" s="3"/>
      <c r="F54" s="3"/>
      <c r="G54" s="3"/>
      <c r="H54" s="3"/>
      <c r="I54" s="3"/>
      <c r="J54" s="3"/>
      <c r="K54" s="3"/>
      <c r="L54" s="3"/>
    </row>
    <row r="55" spans="1:12" ht="15.75">
      <c r="A55" s="123"/>
      <c r="B55" s="64"/>
      <c r="C55" s="64"/>
      <c r="D55" s="30"/>
      <c r="E55" s="3"/>
      <c r="F55" s="3"/>
      <c r="G55" s="3"/>
      <c r="H55" s="3"/>
      <c r="I55" s="3"/>
      <c r="J55" s="3"/>
      <c r="K55" s="3"/>
      <c r="L55" s="3"/>
    </row>
    <row r="56" spans="1:12" ht="15.75">
      <c r="A56" s="123"/>
      <c r="B56" s="64"/>
      <c r="C56" s="64"/>
      <c r="D56" s="30"/>
      <c r="E56" s="3"/>
      <c r="F56" s="3"/>
      <c r="G56" s="3"/>
      <c r="H56" s="3"/>
      <c r="I56" s="3"/>
      <c r="J56" s="3"/>
      <c r="K56" s="3"/>
      <c r="L56" s="3"/>
    </row>
    <row r="57" spans="1:12" ht="15.75">
      <c r="A57" s="123"/>
      <c r="B57" s="64"/>
      <c r="C57" s="64"/>
      <c r="D57" s="30"/>
      <c r="E57" s="3"/>
      <c r="F57" s="3"/>
      <c r="G57" s="3"/>
      <c r="H57" s="3"/>
      <c r="I57" s="3"/>
      <c r="J57" s="3"/>
      <c r="K57" s="3"/>
      <c r="L57" s="3"/>
    </row>
    <row r="58" spans="1:12" ht="15.75">
      <c r="A58" s="123"/>
      <c r="B58" s="64"/>
      <c r="C58" s="64"/>
      <c r="D58" s="30"/>
      <c r="E58" s="3"/>
      <c r="F58" s="3"/>
      <c r="G58" s="3"/>
      <c r="H58" s="3"/>
      <c r="I58" s="3"/>
      <c r="J58" s="3"/>
      <c r="K58" s="3"/>
      <c r="L58" s="3"/>
    </row>
    <row r="59" spans="1:12" ht="15.75">
      <c r="A59" s="123"/>
      <c r="B59" s="64"/>
      <c r="C59" s="64"/>
      <c r="D59" s="30"/>
      <c r="E59" s="3"/>
      <c r="F59" s="3"/>
      <c r="G59" s="3"/>
      <c r="H59" s="3"/>
      <c r="I59" s="3"/>
      <c r="J59" s="3"/>
      <c r="K59" s="3"/>
      <c r="L59" s="3"/>
    </row>
    <row r="60" spans="1:12" ht="15.75">
      <c r="A60" s="123"/>
      <c r="B60" s="64"/>
      <c r="C60" s="64"/>
      <c r="D60" s="30"/>
      <c r="E60" s="3"/>
      <c r="F60" s="3"/>
      <c r="G60" s="3"/>
      <c r="H60" s="3"/>
      <c r="I60" s="3"/>
      <c r="J60" s="3"/>
      <c r="K60" s="3"/>
      <c r="L60" s="3"/>
    </row>
  </sheetData>
  <sheetProtection/>
  <mergeCells count="20">
    <mergeCell ref="A38:D38"/>
    <mergeCell ref="A39:D39"/>
    <mergeCell ref="U4:AB4"/>
    <mergeCell ref="C26:D26"/>
    <mergeCell ref="B25:D25"/>
    <mergeCell ref="C19:D19"/>
    <mergeCell ref="C20:D20"/>
    <mergeCell ref="B17:D17"/>
    <mergeCell ref="B6:D6"/>
    <mergeCell ref="A4:D4"/>
    <mergeCell ref="A2:U2"/>
    <mergeCell ref="E1:U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zoomScale="110" zoomScaleNormal="110" zoomScalePageLayoutView="0" workbookViewId="0" topLeftCell="A10">
      <selection activeCell="I36" sqref="I36"/>
    </sheetView>
  </sheetViews>
  <sheetFormatPr defaultColWidth="9.140625" defaultRowHeight="12.75"/>
  <cols>
    <col min="1" max="1" width="4.28125" style="225" customWidth="1"/>
    <col min="2" max="2" width="4.7109375" style="158" customWidth="1"/>
    <col min="3" max="3" width="45.421875" style="158" customWidth="1"/>
    <col min="4" max="4" width="11.140625" style="158" customWidth="1"/>
    <col min="5" max="5" width="10.57421875" style="158" hidden="1" customWidth="1"/>
    <col min="6" max="6" width="10.421875" style="158" hidden="1" customWidth="1"/>
    <col min="7" max="7" width="11.7109375" style="158" hidden="1" customWidth="1"/>
    <col min="8" max="8" width="12.421875" style="158" hidden="1" customWidth="1"/>
    <col min="9" max="9" width="10.140625" style="158" customWidth="1"/>
    <col min="10" max="10" width="9.8515625" style="158" customWidth="1"/>
    <col min="11" max="11" width="8.28125" style="158" customWidth="1"/>
    <col min="12" max="12" width="12.8515625" style="158" customWidth="1"/>
    <col min="13" max="13" width="11.00390625" style="158" hidden="1" customWidth="1"/>
    <col min="14" max="14" width="10.00390625" style="158" hidden="1" customWidth="1"/>
    <col min="15" max="15" width="10.140625" style="158" hidden="1" customWidth="1"/>
    <col min="16" max="16" width="10.28125" style="158" hidden="1" customWidth="1"/>
    <col min="17" max="18" width="10.28125" style="158" customWidth="1"/>
    <col min="19" max="19" width="9.8515625" style="158" customWidth="1"/>
    <col min="20" max="20" width="11.7109375" style="158" customWidth="1"/>
    <col min="21" max="21" width="9.140625" style="158" hidden="1" customWidth="1"/>
    <col min="22" max="22" width="9.421875" style="158" hidden="1" customWidth="1"/>
    <col min="23" max="23" width="10.00390625" style="158" hidden="1" customWidth="1"/>
    <col min="24" max="24" width="10.8515625" style="158" hidden="1" customWidth="1"/>
    <col min="25" max="25" width="10.00390625" style="158" customWidth="1"/>
    <col min="26" max="27" width="9.140625" style="158" customWidth="1"/>
    <col min="28" max="28" width="9.140625" style="158" hidden="1" customWidth="1"/>
    <col min="29" max="29" width="11.421875" style="158" bestFit="1" customWidth="1"/>
    <col min="30" max="16384" width="9.140625" style="158" customWidth="1"/>
  </cols>
  <sheetData>
    <row r="1" spans="1:20" s="150" customFormat="1" ht="21" customHeight="1">
      <c r="A1" s="146"/>
      <c r="B1" s="147"/>
      <c r="C1" s="1375" t="s">
        <v>201</v>
      </c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</row>
    <row r="2" spans="1:11" s="150" customFormat="1" ht="21" customHeight="1">
      <c r="A2" s="261"/>
      <c r="B2" s="147"/>
      <c r="C2" s="152"/>
      <c r="D2" s="151"/>
      <c r="E2" s="151"/>
      <c r="F2" s="151"/>
      <c r="G2" s="151"/>
      <c r="H2" s="151"/>
      <c r="I2" s="151"/>
      <c r="J2" s="151"/>
      <c r="K2" s="151"/>
    </row>
    <row r="3" spans="1:20" s="153" customFormat="1" ht="25.5" customHeight="1">
      <c r="A3" s="1378" t="s">
        <v>227</v>
      </c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  <c r="M3" s="1378"/>
      <c r="N3" s="1378"/>
      <c r="O3" s="1378"/>
      <c r="P3" s="1378"/>
      <c r="Q3" s="1378"/>
      <c r="R3" s="1378"/>
      <c r="S3" s="1378"/>
      <c r="T3" s="1378"/>
    </row>
    <row r="4" spans="1:20" s="156" customFormat="1" ht="15.75" customHeight="1" thickBot="1">
      <c r="A4" s="154"/>
      <c r="B4" s="154"/>
      <c r="C4" s="154"/>
      <c r="T4" s="155" t="s">
        <v>501</v>
      </c>
    </row>
    <row r="5" spans="1:27" ht="36.75" customHeight="1" thickBot="1">
      <c r="A5" s="1376" t="s">
        <v>111</v>
      </c>
      <c r="B5" s="1377"/>
      <c r="C5" s="157" t="s">
        <v>112</v>
      </c>
      <c r="D5" s="1380" t="s">
        <v>5</v>
      </c>
      <c r="E5" s="1381"/>
      <c r="F5" s="1381"/>
      <c r="G5" s="1381"/>
      <c r="H5" s="1381"/>
      <c r="I5" s="1381"/>
      <c r="J5" s="1381"/>
      <c r="K5" s="1381"/>
      <c r="L5" s="1382" t="s">
        <v>109</v>
      </c>
      <c r="M5" s="1383"/>
      <c r="N5" s="1383"/>
      <c r="O5" s="1383"/>
      <c r="P5" s="1383"/>
      <c r="Q5" s="1380"/>
      <c r="R5" s="1380"/>
      <c r="S5" s="1380"/>
      <c r="T5" s="1382" t="s">
        <v>157</v>
      </c>
      <c r="U5" s="1383"/>
      <c r="V5" s="1383"/>
      <c r="W5" s="1383"/>
      <c r="X5" s="1383"/>
      <c r="Y5" s="1383"/>
      <c r="Z5" s="1383"/>
      <c r="AA5" s="1384"/>
    </row>
    <row r="6" spans="1:28" ht="13.5" thickBot="1">
      <c r="A6" s="321"/>
      <c r="B6" s="322"/>
      <c r="C6" s="157"/>
      <c r="D6" s="157" t="s">
        <v>239</v>
      </c>
      <c r="E6" s="157" t="s">
        <v>237</v>
      </c>
      <c r="F6" s="157" t="s">
        <v>240</v>
      </c>
      <c r="G6" s="157" t="s">
        <v>243</v>
      </c>
      <c r="H6" s="157" t="s">
        <v>259</v>
      </c>
      <c r="I6" s="157" t="s">
        <v>264</v>
      </c>
      <c r="J6" s="157" t="s">
        <v>246</v>
      </c>
      <c r="K6" s="471" t="s">
        <v>247</v>
      </c>
      <c r="L6" s="500" t="s">
        <v>239</v>
      </c>
      <c r="M6" s="157" t="s">
        <v>237</v>
      </c>
      <c r="N6" s="157" t="s">
        <v>240</v>
      </c>
      <c r="O6" s="157" t="s">
        <v>243</v>
      </c>
      <c r="P6" s="157" t="s">
        <v>259</v>
      </c>
      <c r="Q6" s="157" t="s">
        <v>264</v>
      </c>
      <c r="R6" s="157" t="s">
        <v>246</v>
      </c>
      <c r="S6" s="471" t="s">
        <v>247</v>
      </c>
      <c r="T6" s="500" t="s">
        <v>239</v>
      </c>
      <c r="U6" s="157" t="s">
        <v>237</v>
      </c>
      <c r="V6" s="157" t="s">
        <v>240</v>
      </c>
      <c r="W6" s="157" t="s">
        <v>243</v>
      </c>
      <c r="X6" s="157" t="s">
        <v>259</v>
      </c>
      <c r="Y6" s="157" t="s">
        <v>264</v>
      </c>
      <c r="Z6" s="157" t="s">
        <v>246</v>
      </c>
      <c r="AA6" s="471" t="s">
        <v>247</v>
      </c>
      <c r="AB6" s="470" t="s">
        <v>264</v>
      </c>
    </row>
    <row r="7" spans="1:28" s="162" customFormat="1" ht="12.75" customHeight="1" thickBot="1">
      <c r="A7" s="159">
        <v>1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0">
        <v>5</v>
      </c>
      <c r="J7" s="160">
        <v>6</v>
      </c>
      <c r="K7" s="161">
        <v>7</v>
      </c>
      <c r="L7" s="159">
        <v>8</v>
      </c>
      <c r="M7" s="160">
        <v>11</v>
      </c>
      <c r="N7" s="160">
        <v>12</v>
      </c>
      <c r="O7" s="160">
        <v>13</v>
      </c>
      <c r="P7" s="160">
        <v>14</v>
      </c>
      <c r="Q7" s="314">
        <v>9</v>
      </c>
      <c r="R7" s="160">
        <v>10</v>
      </c>
      <c r="S7" s="161">
        <v>11</v>
      </c>
      <c r="T7" s="159">
        <v>12</v>
      </c>
      <c r="U7" s="160">
        <v>16</v>
      </c>
      <c r="V7" s="160">
        <v>17</v>
      </c>
      <c r="W7" s="160">
        <v>18</v>
      </c>
      <c r="X7" s="160">
        <v>19</v>
      </c>
      <c r="Y7" s="160">
        <v>13</v>
      </c>
      <c r="Z7" s="160">
        <v>14</v>
      </c>
      <c r="AA7" s="161">
        <v>15</v>
      </c>
      <c r="AB7" s="784"/>
    </row>
    <row r="8" spans="1:28" s="162" customFormat="1" ht="15.75" customHeight="1" thickBot="1">
      <c r="A8" s="163"/>
      <c r="B8" s="164"/>
      <c r="C8" s="164" t="s">
        <v>113</v>
      </c>
      <c r="D8" s="291"/>
      <c r="E8" s="291"/>
      <c r="F8" s="227"/>
      <c r="G8" s="227"/>
      <c r="H8" s="227"/>
      <c r="I8" s="227"/>
      <c r="J8" s="227"/>
      <c r="K8" s="292"/>
      <c r="L8" s="477"/>
      <c r="M8" s="291"/>
      <c r="N8" s="227"/>
      <c r="O8" s="227"/>
      <c r="P8" s="227"/>
      <c r="Q8" s="315"/>
      <c r="R8" s="227"/>
      <c r="S8" s="292"/>
      <c r="T8" s="477"/>
      <c r="U8" s="227"/>
      <c r="V8" s="227"/>
      <c r="W8" s="227"/>
      <c r="X8" s="227"/>
      <c r="Y8" s="227"/>
      <c r="Z8" s="227"/>
      <c r="AA8" s="292"/>
      <c r="AB8" s="291"/>
    </row>
    <row r="9" spans="1:28" s="168" customFormat="1" ht="12" customHeight="1" thickBot="1">
      <c r="A9" s="159" t="s">
        <v>29</v>
      </c>
      <c r="B9" s="165"/>
      <c r="C9" s="166" t="s">
        <v>352</v>
      </c>
      <c r="D9" s="228"/>
      <c r="E9" s="228"/>
      <c r="F9" s="228">
        <f>SUM(F10:F13)</f>
        <v>7750</v>
      </c>
      <c r="G9" s="228">
        <f>SUM(G10:G13)</f>
        <v>39629</v>
      </c>
      <c r="H9" s="228">
        <f>SUM(H10:H13)</f>
        <v>43229</v>
      </c>
      <c r="I9" s="228">
        <f>SUM(I10:I13)</f>
        <v>43741</v>
      </c>
      <c r="J9" s="228">
        <f>SUM(J10:J13)</f>
        <v>43715</v>
      </c>
      <c r="K9" s="406">
        <f>J9/I9</f>
        <v>0.9994055920074987</v>
      </c>
      <c r="L9" s="478"/>
      <c r="M9" s="228"/>
      <c r="N9" s="228">
        <f>SUM(N10:N13)</f>
        <v>7750</v>
      </c>
      <c r="O9" s="228">
        <f>SUM(O10:O13)</f>
        <v>39629</v>
      </c>
      <c r="P9" s="228">
        <f>SUM(P10:P13)</f>
        <v>43229</v>
      </c>
      <c r="Q9" s="228">
        <f>SUM(Q10:Q13)</f>
        <v>43741</v>
      </c>
      <c r="R9" s="228">
        <f>SUM(R10:R13)</f>
        <v>43715</v>
      </c>
      <c r="S9" s="406">
        <f>R9/Q9</f>
        <v>0.9994055920074987</v>
      </c>
      <c r="T9" s="478"/>
      <c r="U9" s="228"/>
      <c r="V9" s="228"/>
      <c r="W9" s="228"/>
      <c r="X9" s="228"/>
      <c r="Y9" s="228"/>
      <c r="Z9" s="228"/>
      <c r="AA9" s="167"/>
      <c r="AB9" s="287"/>
    </row>
    <row r="10" spans="1:28" s="168" customFormat="1" ht="12" customHeight="1">
      <c r="A10" s="169"/>
      <c r="B10" s="180" t="s">
        <v>38</v>
      </c>
      <c r="C10" s="927" t="s">
        <v>553</v>
      </c>
      <c r="D10" s="928"/>
      <c r="E10" s="928"/>
      <c r="F10" s="929">
        <v>3600</v>
      </c>
      <c r="G10" s="929">
        <f>3600+12785</f>
        <v>16385</v>
      </c>
      <c r="H10" s="929">
        <f>3600+12785</f>
        <v>16385</v>
      </c>
      <c r="I10" s="929">
        <v>6600</v>
      </c>
      <c r="J10" s="929">
        <v>6600</v>
      </c>
      <c r="K10" s="499">
        <f>J10/I10</f>
        <v>1</v>
      </c>
      <c r="L10" s="931"/>
      <c r="M10" s="928"/>
      <c r="N10" s="929">
        <v>3600</v>
      </c>
      <c r="O10" s="929">
        <f>3600+12785</f>
        <v>16385</v>
      </c>
      <c r="P10" s="929">
        <f>3600+12785</f>
        <v>16385</v>
      </c>
      <c r="Q10" s="929">
        <v>6600</v>
      </c>
      <c r="R10" s="929">
        <v>6600</v>
      </c>
      <c r="S10" s="499">
        <f>R10/Q10</f>
        <v>1</v>
      </c>
      <c r="T10" s="931"/>
      <c r="U10" s="928"/>
      <c r="V10" s="928"/>
      <c r="W10" s="928"/>
      <c r="X10" s="928"/>
      <c r="Y10" s="928"/>
      <c r="Z10" s="928"/>
      <c r="AA10" s="930"/>
      <c r="AB10" s="1009"/>
    </row>
    <row r="11" spans="1:28" s="168" customFormat="1" ht="12" customHeight="1">
      <c r="A11" s="989"/>
      <c r="B11" s="170" t="s">
        <v>39</v>
      </c>
      <c r="C11" s="990" t="s">
        <v>585</v>
      </c>
      <c r="D11" s="991"/>
      <c r="E11" s="991"/>
      <c r="F11" s="992"/>
      <c r="G11" s="992"/>
      <c r="H11" s="992"/>
      <c r="I11" s="992">
        <v>3600</v>
      </c>
      <c r="J11" s="992">
        <v>3600</v>
      </c>
      <c r="K11" s="1007">
        <f>J11/I11</f>
        <v>1</v>
      </c>
      <c r="L11" s="993"/>
      <c r="M11" s="991"/>
      <c r="N11" s="992"/>
      <c r="O11" s="992"/>
      <c r="P11" s="992"/>
      <c r="Q11" s="992">
        <v>3600</v>
      </c>
      <c r="R11" s="992">
        <v>3600</v>
      </c>
      <c r="S11" s="1007">
        <f>R11/Q11</f>
        <v>1</v>
      </c>
      <c r="T11" s="993"/>
      <c r="U11" s="991"/>
      <c r="V11" s="991"/>
      <c r="W11" s="991"/>
      <c r="X11" s="991"/>
      <c r="Y11" s="991"/>
      <c r="Z11" s="991"/>
      <c r="AA11" s="935"/>
      <c r="AB11" s="1009"/>
    </row>
    <row r="12" spans="1:28" s="168" customFormat="1" ht="12" customHeight="1">
      <c r="A12" s="171"/>
      <c r="B12" s="170" t="s">
        <v>40</v>
      </c>
      <c r="C12" s="932" t="s">
        <v>325</v>
      </c>
      <c r="D12" s="933"/>
      <c r="E12" s="933"/>
      <c r="F12" s="934">
        <v>500</v>
      </c>
      <c r="G12" s="934">
        <v>700</v>
      </c>
      <c r="H12" s="934">
        <v>700</v>
      </c>
      <c r="I12" s="934">
        <v>942</v>
      </c>
      <c r="J12" s="934">
        <v>942</v>
      </c>
      <c r="K12" s="1007">
        <f>J12/I12</f>
        <v>1</v>
      </c>
      <c r="L12" s="936"/>
      <c r="M12" s="933"/>
      <c r="N12" s="934">
        <v>500</v>
      </c>
      <c r="O12" s="934">
        <v>700</v>
      </c>
      <c r="P12" s="934">
        <v>700</v>
      </c>
      <c r="Q12" s="934">
        <v>942</v>
      </c>
      <c r="R12" s="934">
        <v>942</v>
      </c>
      <c r="S12" s="1007">
        <f>R12/Q12</f>
        <v>1</v>
      </c>
      <c r="T12" s="936"/>
      <c r="U12" s="933"/>
      <c r="V12" s="933"/>
      <c r="W12" s="933"/>
      <c r="X12" s="933"/>
      <c r="Y12" s="933"/>
      <c r="Z12" s="933"/>
      <c r="AA12" s="935"/>
      <c r="AB12" s="1009"/>
    </row>
    <row r="13" spans="1:28" s="168" customFormat="1" ht="12" customHeight="1" thickBot="1">
      <c r="A13" s="937"/>
      <c r="B13" s="170" t="s">
        <v>51</v>
      </c>
      <c r="C13" s="938" t="s">
        <v>554</v>
      </c>
      <c r="D13" s="939"/>
      <c r="E13" s="939"/>
      <c r="F13" s="940">
        <v>3650</v>
      </c>
      <c r="G13" s="940">
        <f>3650+18894</f>
        <v>22544</v>
      </c>
      <c r="H13" s="940">
        <f>3650+18894+3600</f>
        <v>26144</v>
      </c>
      <c r="I13" s="940">
        <v>32599</v>
      </c>
      <c r="J13" s="940">
        <v>32573</v>
      </c>
      <c r="K13" s="1007">
        <f>J13/I13</f>
        <v>0.999202429522378</v>
      </c>
      <c r="L13" s="942"/>
      <c r="M13" s="939"/>
      <c r="N13" s="940">
        <v>3650</v>
      </c>
      <c r="O13" s="940">
        <f>3650+18894</f>
        <v>22544</v>
      </c>
      <c r="P13" s="940">
        <f>3650+18894+3600</f>
        <v>26144</v>
      </c>
      <c r="Q13" s="940">
        <v>32599</v>
      </c>
      <c r="R13" s="940">
        <v>32573</v>
      </c>
      <c r="S13" s="1007">
        <f>R13/Q13</f>
        <v>0.999202429522378</v>
      </c>
      <c r="T13" s="942"/>
      <c r="U13" s="939"/>
      <c r="V13" s="939"/>
      <c r="W13" s="939"/>
      <c r="X13" s="939"/>
      <c r="Y13" s="939"/>
      <c r="Z13" s="939"/>
      <c r="AA13" s="941"/>
      <c r="AB13" s="1009"/>
    </row>
    <row r="14" spans="1:28" s="174" customFormat="1" ht="12" customHeight="1" hidden="1" thickBot="1">
      <c r="A14" s="175" t="s">
        <v>30</v>
      </c>
      <c r="B14" s="170"/>
      <c r="C14" s="926" t="s">
        <v>119</v>
      </c>
      <c r="D14" s="238"/>
      <c r="E14" s="238"/>
      <c r="F14" s="238"/>
      <c r="G14" s="238"/>
      <c r="H14" s="238"/>
      <c r="I14" s="238"/>
      <c r="J14" s="238"/>
      <c r="K14" s="750"/>
      <c r="L14" s="479"/>
      <c r="M14" s="238"/>
      <c r="N14" s="238"/>
      <c r="O14" s="238"/>
      <c r="P14" s="238"/>
      <c r="Q14" s="238"/>
      <c r="R14" s="238"/>
      <c r="S14" s="750"/>
      <c r="T14" s="479"/>
      <c r="U14" s="238"/>
      <c r="V14" s="238"/>
      <c r="W14" s="238"/>
      <c r="X14" s="238"/>
      <c r="Y14" s="238"/>
      <c r="Z14" s="238"/>
      <c r="AA14" s="293"/>
      <c r="AB14" s="1010"/>
    </row>
    <row r="15" spans="1:28" s="168" customFormat="1" ht="12" customHeight="1" thickBot="1">
      <c r="A15" s="159" t="s">
        <v>30</v>
      </c>
      <c r="B15" s="165"/>
      <c r="C15" s="166" t="s">
        <v>120</v>
      </c>
      <c r="D15" s="228">
        <f aca="true" t="shared" si="0" ref="D15:I15">SUM(D16:D19)</f>
        <v>393000</v>
      </c>
      <c r="E15" s="228">
        <f t="shared" si="0"/>
        <v>393000</v>
      </c>
      <c r="F15" s="228">
        <f t="shared" si="0"/>
        <v>393000</v>
      </c>
      <c r="G15" s="228">
        <f t="shared" si="0"/>
        <v>393000</v>
      </c>
      <c r="H15" s="228">
        <f t="shared" si="0"/>
        <v>2127019</v>
      </c>
      <c r="I15" s="228">
        <f t="shared" si="0"/>
        <v>2953904</v>
      </c>
      <c r="J15" s="228">
        <f>SUM(J16:J19)</f>
        <v>2953904</v>
      </c>
      <c r="K15" s="406">
        <f>J15/I15</f>
        <v>1</v>
      </c>
      <c r="L15" s="228">
        <f aca="true" t="shared" si="1" ref="L15:R15">SUM(L16:L19)</f>
        <v>393000</v>
      </c>
      <c r="M15" s="228">
        <f t="shared" si="1"/>
        <v>393000</v>
      </c>
      <c r="N15" s="228">
        <f t="shared" si="1"/>
        <v>393000</v>
      </c>
      <c r="O15" s="228">
        <f t="shared" si="1"/>
        <v>393000</v>
      </c>
      <c r="P15" s="228">
        <f t="shared" si="1"/>
        <v>2127019</v>
      </c>
      <c r="Q15" s="228">
        <f t="shared" si="1"/>
        <v>2953904</v>
      </c>
      <c r="R15" s="228">
        <f t="shared" si="1"/>
        <v>2953904</v>
      </c>
      <c r="S15" s="406">
        <f>R15/Q15</f>
        <v>1</v>
      </c>
      <c r="T15" s="478"/>
      <c r="U15" s="228"/>
      <c r="V15" s="228"/>
      <c r="W15" s="228"/>
      <c r="X15" s="228"/>
      <c r="Y15" s="228"/>
      <c r="Z15" s="228"/>
      <c r="AA15" s="167"/>
      <c r="AB15" s="287"/>
    </row>
    <row r="16" spans="1:28" s="174" customFormat="1" ht="12" customHeight="1">
      <c r="A16" s="171"/>
      <c r="B16" s="170" t="s">
        <v>41</v>
      </c>
      <c r="C16" s="176" t="s">
        <v>76</v>
      </c>
      <c r="D16" s="229">
        <v>393000</v>
      </c>
      <c r="E16" s="229">
        <v>393000</v>
      </c>
      <c r="F16" s="229">
        <v>393000</v>
      </c>
      <c r="G16" s="229">
        <v>393000</v>
      </c>
      <c r="H16" s="229">
        <f>393000+1734019</f>
        <v>2127019</v>
      </c>
      <c r="I16" s="229">
        <v>2953904</v>
      </c>
      <c r="J16" s="229">
        <v>2953904</v>
      </c>
      <c r="K16" s="1007">
        <f>J16/I16</f>
        <v>1</v>
      </c>
      <c r="L16" s="229">
        <v>393000</v>
      </c>
      <c r="M16" s="229">
        <v>393000</v>
      </c>
      <c r="N16" s="229">
        <v>393000</v>
      </c>
      <c r="O16" s="229">
        <v>393000</v>
      </c>
      <c r="P16" s="229">
        <f>393000+1734019</f>
        <v>2127019</v>
      </c>
      <c r="Q16" s="229">
        <v>2953904</v>
      </c>
      <c r="R16" s="229">
        <v>2953904</v>
      </c>
      <c r="S16" s="1007">
        <f>R16/Q16</f>
        <v>1</v>
      </c>
      <c r="T16" s="480"/>
      <c r="U16" s="229"/>
      <c r="V16" s="229"/>
      <c r="W16" s="229"/>
      <c r="X16" s="229"/>
      <c r="Y16" s="229"/>
      <c r="Z16" s="229"/>
      <c r="AA16" s="173"/>
      <c r="AB16" s="785"/>
    </row>
    <row r="17" spans="1:28" s="174" customFormat="1" ht="12" customHeight="1">
      <c r="A17" s="171"/>
      <c r="B17" s="170" t="s">
        <v>42</v>
      </c>
      <c r="C17" s="172" t="s">
        <v>123</v>
      </c>
      <c r="D17" s="229"/>
      <c r="E17" s="229"/>
      <c r="F17" s="229"/>
      <c r="G17" s="229"/>
      <c r="H17" s="229"/>
      <c r="I17" s="229"/>
      <c r="J17" s="229"/>
      <c r="K17" s="751"/>
      <c r="L17" s="229"/>
      <c r="M17" s="229"/>
      <c r="N17" s="229"/>
      <c r="O17" s="229"/>
      <c r="P17" s="229"/>
      <c r="Q17" s="229"/>
      <c r="R17" s="229"/>
      <c r="S17" s="751"/>
      <c r="T17" s="480"/>
      <c r="U17" s="229"/>
      <c r="V17" s="229"/>
      <c r="W17" s="229"/>
      <c r="X17" s="229"/>
      <c r="Y17" s="229"/>
      <c r="Z17" s="229"/>
      <c r="AA17" s="173"/>
      <c r="AB17" s="785"/>
    </row>
    <row r="18" spans="1:28" s="174" customFormat="1" ht="12" customHeight="1">
      <c r="A18" s="171"/>
      <c r="B18" s="170" t="s">
        <v>43</v>
      </c>
      <c r="C18" s="172" t="s">
        <v>77</v>
      </c>
      <c r="D18" s="229"/>
      <c r="E18" s="229"/>
      <c r="F18" s="229"/>
      <c r="G18" s="229"/>
      <c r="H18" s="229"/>
      <c r="I18" s="229"/>
      <c r="J18" s="229"/>
      <c r="K18" s="751"/>
      <c r="L18" s="229"/>
      <c r="M18" s="229"/>
      <c r="N18" s="229"/>
      <c r="O18" s="229"/>
      <c r="P18" s="229"/>
      <c r="Q18" s="229"/>
      <c r="R18" s="229"/>
      <c r="S18" s="751"/>
      <c r="T18" s="480"/>
      <c r="U18" s="229"/>
      <c r="V18" s="229"/>
      <c r="W18" s="229"/>
      <c r="X18" s="229"/>
      <c r="Y18" s="229"/>
      <c r="Z18" s="229"/>
      <c r="AA18" s="173"/>
      <c r="AB18" s="785"/>
    </row>
    <row r="19" spans="1:28" s="174" customFormat="1" ht="12" customHeight="1" thickBot="1">
      <c r="A19" s="171"/>
      <c r="B19" s="170" t="s">
        <v>285</v>
      </c>
      <c r="C19" s="172" t="s">
        <v>123</v>
      </c>
      <c r="D19" s="229"/>
      <c r="E19" s="229"/>
      <c r="F19" s="229"/>
      <c r="G19" s="229"/>
      <c r="H19" s="229"/>
      <c r="I19" s="229"/>
      <c r="J19" s="229"/>
      <c r="K19" s="751"/>
      <c r="L19" s="229"/>
      <c r="M19" s="229"/>
      <c r="N19" s="229"/>
      <c r="O19" s="229"/>
      <c r="P19" s="229"/>
      <c r="Q19" s="229"/>
      <c r="R19" s="229"/>
      <c r="S19" s="751"/>
      <c r="T19" s="480"/>
      <c r="U19" s="229"/>
      <c r="V19" s="229"/>
      <c r="W19" s="229"/>
      <c r="X19" s="229"/>
      <c r="Y19" s="229"/>
      <c r="Z19" s="229"/>
      <c r="AA19" s="173"/>
      <c r="AB19" s="785"/>
    </row>
    <row r="20" spans="1:28" s="174" customFormat="1" ht="12" customHeight="1" thickBot="1">
      <c r="A20" s="177" t="s">
        <v>10</v>
      </c>
      <c r="B20" s="178"/>
      <c r="C20" s="178" t="s">
        <v>126</v>
      </c>
      <c r="D20" s="228">
        <f>SUM(D21:D22)</f>
        <v>0</v>
      </c>
      <c r="E20" s="228">
        <f>SUM(E21:E22)</f>
        <v>0</v>
      </c>
      <c r="F20" s="228">
        <f>SUM(F21:F22)</f>
        <v>0</v>
      </c>
      <c r="G20" s="228">
        <f>SUM(G21:G22)</f>
        <v>0</v>
      </c>
      <c r="H20" s="228">
        <f>SUM(H21:H22)</f>
        <v>0</v>
      </c>
      <c r="I20" s="228"/>
      <c r="J20" s="228"/>
      <c r="K20" s="406"/>
      <c r="L20" s="228">
        <f>SUM(L21:L22)</f>
        <v>0</v>
      </c>
      <c r="M20" s="228">
        <f>SUM(M21:M22)</f>
        <v>0</v>
      </c>
      <c r="N20" s="228">
        <f>SUM(N21:N22)</f>
        <v>0</v>
      </c>
      <c r="O20" s="228">
        <f>SUM(O21:O22)</f>
        <v>0</v>
      </c>
      <c r="P20" s="228">
        <f>SUM(P21:P22)</f>
        <v>0</v>
      </c>
      <c r="Q20" s="228"/>
      <c r="R20" s="228"/>
      <c r="S20" s="406"/>
      <c r="T20" s="478"/>
      <c r="U20" s="228"/>
      <c r="V20" s="228"/>
      <c r="W20" s="228"/>
      <c r="X20" s="228"/>
      <c r="Y20" s="228"/>
      <c r="Z20" s="228"/>
      <c r="AA20" s="167"/>
      <c r="AB20" s="287"/>
    </row>
    <row r="21" spans="1:28" s="168" customFormat="1" ht="12" customHeight="1">
      <c r="A21" s="179"/>
      <c r="B21" s="180" t="s">
        <v>44</v>
      </c>
      <c r="C21" s="181" t="s">
        <v>128</v>
      </c>
      <c r="D21" s="230"/>
      <c r="E21" s="230"/>
      <c r="F21" s="230"/>
      <c r="G21" s="230"/>
      <c r="H21" s="230"/>
      <c r="I21" s="230"/>
      <c r="J21" s="230"/>
      <c r="K21" s="752"/>
      <c r="L21" s="230"/>
      <c r="M21" s="230"/>
      <c r="N21" s="230"/>
      <c r="O21" s="230"/>
      <c r="P21" s="230"/>
      <c r="Q21" s="230"/>
      <c r="R21" s="230"/>
      <c r="S21" s="752"/>
      <c r="T21" s="481"/>
      <c r="U21" s="230"/>
      <c r="V21" s="230"/>
      <c r="W21" s="230"/>
      <c r="X21" s="230"/>
      <c r="Y21" s="230"/>
      <c r="Z21" s="230"/>
      <c r="AA21" s="182"/>
      <c r="AB21" s="786"/>
    </row>
    <row r="22" spans="1:28" s="168" customFormat="1" ht="12" customHeight="1" thickBot="1">
      <c r="A22" s="183"/>
      <c r="B22" s="184" t="s">
        <v>45</v>
      </c>
      <c r="C22" s="185" t="s">
        <v>130</v>
      </c>
      <c r="D22" s="231"/>
      <c r="E22" s="231"/>
      <c r="F22" s="231"/>
      <c r="G22" s="231"/>
      <c r="H22" s="231"/>
      <c r="I22" s="231"/>
      <c r="J22" s="231"/>
      <c r="K22" s="753"/>
      <c r="L22" s="231"/>
      <c r="M22" s="231"/>
      <c r="N22" s="231"/>
      <c r="O22" s="231"/>
      <c r="P22" s="231"/>
      <c r="Q22" s="231"/>
      <c r="R22" s="231"/>
      <c r="S22" s="753"/>
      <c r="T22" s="482"/>
      <c r="U22" s="231"/>
      <c r="V22" s="231"/>
      <c r="W22" s="231"/>
      <c r="X22" s="231"/>
      <c r="Y22" s="231"/>
      <c r="Z22" s="231"/>
      <c r="AA22" s="186"/>
      <c r="AB22" s="787"/>
    </row>
    <row r="23" spans="1:28" s="168" customFormat="1" ht="12" customHeight="1" hidden="1" thickBot="1">
      <c r="A23" s="177" t="s">
        <v>11</v>
      </c>
      <c r="B23" s="165"/>
      <c r="D23" s="232"/>
      <c r="E23" s="232"/>
      <c r="F23" s="232"/>
      <c r="G23" s="232"/>
      <c r="H23" s="232"/>
      <c r="I23" s="232"/>
      <c r="J23" s="232"/>
      <c r="K23" s="754"/>
      <c r="L23" s="232"/>
      <c r="M23" s="232"/>
      <c r="N23" s="232"/>
      <c r="O23" s="232"/>
      <c r="P23" s="232"/>
      <c r="Q23" s="232"/>
      <c r="R23" s="232"/>
      <c r="S23" s="754"/>
      <c r="T23" s="483"/>
      <c r="U23" s="232"/>
      <c r="V23" s="232"/>
      <c r="W23" s="232"/>
      <c r="X23" s="232"/>
      <c r="Y23" s="232"/>
      <c r="Z23" s="232"/>
      <c r="AA23" s="187"/>
      <c r="AB23" s="284"/>
    </row>
    <row r="24" spans="1:28" s="168" customFormat="1" ht="12" customHeight="1" thickBot="1">
      <c r="A24" s="159" t="s">
        <v>11</v>
      </c>
      <c r="B24" s="188"/>
      <c r="C24" s="178" t="s">
        <v>132</v>
      </c>
      <c r="D24" s="287">
        <f aca="true" t="shared" si="2" ref="D24:I24">D9+D14+D15+D20+D23</f>
        <v>393000</v>
      </c>
      <c r="E24" s="287">
        <f t="shared" si="2"/>
        <v>393000</v>
      </c>
      <c r="F24" s="287">
        <f t="shared" si="2"/>
        <v>400750</v>
      </c>
      <c r="G24" s="287">
        <f t="shared" si="2"/>
        <v>432629</v>
      </c>
      <c r="H24" s="287">
        <f t="shared" si="2"/>
        <v>2170248</v>
      </c>
      <c r="I24" s="287">
        <f t="shared" si="2"/>
        <v>2997645</v>
      </c>
      <c r="J24" s="287">
        <f>J9+J14+J15+J20+J23</f>
        <v>2997619</v>
      </c>
      <c r="K24" s="406">
        <f>J24/I24</f>
        <v>0.9999913265246552</v>
      </c>
      <c r="L24" s="287">
        <f aca="true" t="shared" si="3" ref="L24:R24">L9+L14+L15+L20+L23</f>
        <v>393000</v>
      </c>
      <c r="M24" s="287">
        <f t="shared" si="3"/>
        <v>393000</v>
      </c>
      <c r="N24" s="287">
        <f t="shared" si="3"/>
        <v>400750</v>
      </c>
      <c r="O24" s="287">
        <f t="shared" si="3"/>
        <v>432629</v>
      </c>
      <c r="P24" s="287">
        <f t="shared" si="3"/>
        <v>2170248</v>
      </c>
      <c r="Q24" s="287">
        <f t="shared" si="3"/>
        <v>2997645</v>
      </c>
      <c r="R24" s="287">
        <f t="shared" si="3"/>
        <v>2997619</v>
      </c>
      <c r="S24" s="406">
        <f>R24/Q24</f>
        <v>0.9999913265246552</v>
      </c>
      <c r="T24" s="478"/>
      <c r="U24" s="228"/>
      <c r="V24" s="228"/>
      <c r="W24" s="228"/>
      <c r="X24" s="228"/>
      <c r="Y24" s="228"/>
      <c r="Z24" s="228"/>
      <c r="AA24" s="167"/>
      <c r="AB24" s="287"/>
    </row>
    <row r="25" spans="1:28" s="174" customFormat="1" ht="12" customHeight="1" thickBot="1">
      <c r="A25" s="189" t="s">
        <v>12</v>
      </c>
      <c r="B25" s="190"/>
      <c r="C25" s="191" t="s">
        <v>133</v>
      </c>
      <c r="D25" s="288">
        <f aca="true" t="shared" si="4" ref="D25:I25">SUM(D26:D28)</f>
        <v>96648440</v>
      </c>
      <c r="E25" s="288">
        <f t="shared" si="4"/>
        <v>96648440</v>
      </c>
      <c r="F25" s="288">
        <f t="shared" si="4"/>
        <v>96650376</v>
      </c>
      <c r="G25" s="288">
        <f t="shared" si="4"/>
        <v>96650376</v>
      </c>
      <c r="H25" s="288">
        <f t="shared" si="4"/>
        <v>96650376</v>
      </c>
      <c r="I25" s="288">
        <f t="shared" si="4"/>
        <v>89977820</v>
      </c>
      <c r="J25" s="288">
        <f>SUM(J26:J28)</f>
        <v>89977820</v>
      </c>
      <c r="K25" s="406">
        <f>J25/I25</f>
        <v>1</v>
      </c>
      <c r="L25" s="288">
        <f aca="true" t="shared" si="5" ref="L25:R25">SUM(L26:L28)</f>
        <v>96648440</v>
      </c>
      <c r="M25" s="288">
        <f t="shared" si="5"/>
        <v>96648440</v>
      </c>
      <c r="N25" s="288">
        <f t="shared" si="5"/>
        <v>96650376</v>
      </c>
      <c r="O25" s="288">
        <f t="shared" si="5"/>
        <v>96650376</v>
      </c>
      <c r="P25" s="288">
        <f t="shared" si="5"/>
        <v>96650376</v>
      </c>
      <c r="Q25" s="288">
        <f t="shared" si="5"/>
        <v>89977820</v>
      </c>
      <c r="R25" s="288">
        <f t="shared" si="5"/>
        <v>89977820</v>
      </c>
      <c r="S25" s="406">
        <f>R25/Q25</f>
        <v>1</v>
      </c>
      <c r="T25" s="484">
        <f aca="true" t="shared" si="6" ref="T25:Y25">SUM(T26:T28)</f>
        <v>4847310</v>
      </c>
      <c r="U25" s="233">
        <f t="shared" si="6"/>
        <v>4847310</v>
      </c>
      <c r="V25" s="233">
        <f t="shared" si="6"/>
        <v>4847310</v>
      </c>
      <c r="W25" s="233">
        <f t="shared" si="6"/>
        <v>4847310</v>
      </c>
      <c r="X25" s="233">
        <f t="shared" si="6"/>
        <v>4847310</v>
      </c>
      <c r="Y25" s="233">
        <f t="shared" si="6"/>
        <v>4847310</v>
      </c>
      <c r="Z25" s="233">
        <f>SUM(Z26:Z28)</f>
        <v>4847310</v>
      </c>
      <c r="AA25" s="406">
        <f>Z25/Y25</f>
        <v>1</v>
      </c>
      <c r="AB25" s="287"/>
    </row>
    <row r="26" spans="1:28" s="174" customFormat="1" ht="15" customHeight="1" thickBot="1">
      <c r="A26" s="169"/>
      <c r="B26" s="192" t="s">
        <v>46</v>
      </c>
      <c r="C26" s="181" t="s">
        <v>135</v>
      </c>
      <c r="D26" s="230">
        <v>63983</v>
      </c>
      <c r="E26" s="230">
        <v>63983</v>
      </c>
      <c r="F26" s="230">
        <f>63983-564</f>
        <v>63419</v>
      </c>
      <c r="G26" s="230">
        <f>63983-564</f>
        <v>63419</v>
      </c>
      <c r="H26" s="230">
        <f>63983-564</f>
        <v>63419</v>
      </c>
      <c r="I26" s="230">
        <v>63419</v>
      </c>
      <c r="J26" s="230">
        <v>63419</v>
      </c>
      <c r="K26" s="1007">
        <f>J26/I26</f>
        <v>1</v>
      </c>
      <c r="L26" s="230">
        <v>63983</v>
      </c>
      <c r="M26" s="230">
        <v>63983</v>
      </c>
      <c r="N26" s="230">
        <f>63983-564</f>
        <v>63419</v>
      </c>
      <c r="O26" s="230">
        <f>63983-564</f>
        <v>63419</v>
      </c>
      <c r="P26" s="230">
        <f>63983-564</f>
        <v>63419</v>
      </c>
      <c r="Q26" s="230">
        <v>63419</v>
      </c>
      <c r="R26" s="230">
        <v>63419</v>
      </c>
      <c r="S26" s="1007">
        <f>R26/Q26</f>
        <v>1</v>
      </c>
      <c r="T26" s="481"/>
      <c r="U26" s="230"/>
      <c r="V26" s="230"/>
      <c r="W26" s="230"/>
      <c r="X26" s="230"/>
      <c r="Y26" s="230"/>
      <c r="Z26" s="230"/>
      <c r="AA26" s="1007"/>
      <c r="AB26" s="1011"/>
    </row>
    <row r="27" spans="1:28" s="174" customFormat="1" ht="15" customHeight="1">
      <c r="A27" s="623"/>
      <c r="B27" s="624" t="s">
        <v>47</v>
      </c>
      <c r="C27" s="509" t="s">
        <v>288</v>
      </c>
      <c r="D27" s="626">
        <v>96584457</v>
      </c>
      <c r="E27" s="626">
        <v>96584457</v>
      </c>
      <c r="F27" s="626">
        <f>96584457+2500</f>
        <v>96586957</v>
      </c>
      <c r="G27" s="626">
        <f>96584457+2500</f>
        <v>96586957</v>
      </c>
      <c r="H27" s="626">
        <f>96584457+2500</f>
        <v>96586957</v>
      </c>
      <c r="I27" s="626">
        <v>89914401</v>
      </c>
      <c r="J27" s="626">
        <v>89914401</v>
      </c>
      <c r="K27" s="1007">
        <f>J27/I27</f>
        <v>1</v>
      </c>
      <c r="L27" s="626">
        <v>96584457</v>
      </c>
      <c r="M27" s="626">
        <v>96584457</v>
      </c>
      <c r="N27" s="626">
        <f>96584457+2500</f>
        <v>96586957</v>
      </c>
      <c r="O27" s="626">
        <f>96584457+2500</f>
        <v>96586957</v>
      </c>
      <c r="P27" s="626">
        <f>96584457+2500</f>
        <v>96586957</v>
      </c>
      <c r="Q27" s="626">
        <v>89914401</v>
      </c>
      <c r="R27" s="626">
        <v>89914401</v>
      </c>
      <c r="S27" s="1007">
        <f>R27/Q27</f>
        <v>1</v>
      </c>
      <c r="T27" s="627">
        <v>4847310</v>
      </c>
      <c r="U27" s="628">
        <v>4847310</v>
      </c>
      <c r="V27" s="628">
        <v>4847310</v>
      </c>
      <c r="W27" s="628">
        <v>4847310</v>
      </c>
      <c r="X27" s="628">
        <v>4847310</v>
      </c>
      <c r="Y27" s="628">
        <v>4847310</v>
      </c>
      <c r="Z27" s="628">
        <v>4847310</v>
      </c>
      <c r="AA27" s="1007">
        <f>Z27/Y27</f>
        <v>1</v>
      </c>
      <c r="AB27" s="1012"/>
    </row>
    <row r="28" spans="1:28" s="174" customFormat="1" ht="15" customHeight="1" thickBot="1">
      <c r="A28" s="193"/>
      <c r="B28" s="194" t="s">
        <v>75</v>
      </c>
      <c r="C28" s="195" t="s">
        <v>137</v>
      </c>
      <c r="D28" s="234"/>
      <c r="E28" s="234"/>
      <c r="F28" s="234"/>
      <c r="G28" s="234"/>
      <c r="H28" s="234"/>
      <c r="I28" s="234"/>
      <c r="J28" s="234"/>
      <c r="K28" s="755"/>
      <c r="L28" s="234"/>
      <c r="M28" s="234"/>
      <c r="N28" s="234"/>
      <c r="O28" s="234"/>
      <c r="P28" s="234"/>
      <c r="Q28" s="234"/>
      <c r="R28" s="234"/>
      <c r="S28" s="755"/>
      <c r="T28" s="485"/>
      <c r="U28" s="234"/>
      <c r="V28" s="234"/>
      <c r="W28" s="234"/>
      <c r="X28" s="234"/>
      <c r="Y28" s="234"/>
      <c r="Z28" s="234"/>
      <c r="AA28" s="755"/>
      <c r="AB28" s="788"/>
    </row>
    <row r="29" spans="1:28" ht="13.5" hidden="1" thickBot="1">
      <c r="A29" s="197" t="s">
        <v>13</v>
      </c>
      <c r="B29" s="198"/>
      <c r="C29" s="199" t="s">
        <v>138</v>
      </c>
      <c r="D29" s="284"/>
      <c r="E29" s="284"/>
      <c r="F29" s="284"/>
      <c r="G29" s="284"/>
      <c r="H29" s="284"/>
      <c r="I29" s="284"/>
      <c r="J29" s="284"/>
      <c r="K29" s="756"/>
      <c r="L29" s="284"/>
      <c r="M29" s="284"/>
      <c r="N29" s="284"/>
      <c r="O29" s="284"/>
      <c r="P29" s="284"/>
      <c r="Q29" s="284"/>
      <c r="R29" s="284"/>
      <c r="S29" s="756"/>
      <c r="T29" s="483"/>
      <c r="U29" s="232"/>
      <c r="V29" s="232"/>
      <c r="W29" s="232"/>
      <c r="X29" s="232"/>
      <c r="Y29" s="232"/>
      <c r="Z29" s="232"/>
      <c r="AA29" s="754"/>
      <c r="AB29" s="284"/>
    </row>
    <row r="30" spans="1:28" s="162" customFormat="1" ht="16.5" customHeight="1" thickBot="1">
      <c r="A30" s="197" t="s">
        <v>13</v>
      </c>
      <c r="B30" s="200"/>
      <c r="C30" s="201" t="s">
        <v>289</v>
      </c>
      <c r="D30" s="290">
        <f aca="true" t="shared" si="7" ref="D30:I30">D24+D29+D25</f>
        <v>97041440</v>
      </c>
      <c r="E30" s="290">
        <f t="shared" si="7"/>
        <v>97041440</v>
      </c>
      <c r="F30" s="290">
        <f t="shared" si="7"/>
        <v>97051126</v>
      </c>
      <c r="G30" s="290">
        <f t="shared" si="7"/>
        <v>97083005</v>
      </c>
      <c r="H30" s="290">
        <f t="shared" si="7"/>
        <v>98820624</v>
      </c>
      <c r="I30" s="290">
        <f t="shared" si="7"/>
        <v>92975465</v>
      </c>
      <c r="J30" s="290">
        <f>J24+J29+J25</f>
        <v>92975439</v>
      </c>
      <c r="K30" s="406">
        <f>J30/I30</f>
        <v>0.9999997203563327</v>
      </c>
      <c r="L30" s="290">
        <f aca="true" t="shared" si="8" ref="L30:R30">L24+L29+L25</f>
        <v>97041440</v>
      </c>
      <c r="M30" s="290">
        <f t="shared" si="8"/>
        <v>97041440</v>
      </c>
      <c r="N30" s="290">
        <f t="shared" si="8"/>
        <v>97051126</v>
      </c>
      <c r="O30" s="290">
        <f t="shared" si="8"/>
        <v>97083005</v>
      </c>
      <c r="P30" s="290">
        <f t="shared" si="8"/>
        <v>98820624</v>
      </c>
      <c r="Q30" s="290">
        <f t="shared" si="8"/>
        <v>92975465</v>
      </c>
      <c r="R30" s="290">
        <f t="shared" si="8"/>
        <v>92975439</v>
      </c>
      <c r="S30" s="406">
        <f>R30/Q30</f>
        <v>0.9999997203563327</v>
      </c>
      <c r="T30" s="486">
        <f aca="true" t="shared" si="9" ref="T30:Y30">T24+T29+T25</f>
        <v>4847310</v>
      </c>
      <c r="U30" s="235">
        <f t="shared" si="9"/>
        <v>4847310</v>
      </c>
      <c r="V30" s="235">
        <f t="shared" si="9"/>
        <v>4847310</v>
      </c>
      <c r="W30" s="235">
        <f t="shared" si="9"/>
        <v>4847310</v>
      </c>
      <c r="X30" s="235">
        <f t="shared" si="9"/>
        <v>4847310</v>
      </c>
      <c r="Y30" s="235">
        <f t="shared" si="9"/>
        <v>4847310</v>
      </c>
      <c r="Z30" s="235">
        <f>Z24+Z29+Z25</f>
        <v>4847310</v>
      </c>
      <c r="AA30" s="406">
        <f>Z30/Y30</f>
        <v>1</v>
      </c>
      <c r="AB30" s="290"/>
    </row>
    <row r="31" spans="1:21" s="206" customFormat="1" ht="12" customHeight="1">
      <c r="A31" s="203"/>
      <c r="B31" s="203"/>
      <c r="C31" s="204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</row>
    <row r="32" spans="1:21" ht="12" customHeight="1" thickBot="1">
      <c r="A32" s="207"/>
      <c r="B32" s="208"/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</row>
    <row r="33" spans="1:27" ht="12" customHeight="1" thickBot="1">
      <c r="A33" s="210"/>
      <c r="B33" s="211"/>
      <c r="C33" s="212" t="s">
        <v>140</v>
      </c>
      <c r="D33" s="226"/>
      <c r="E33" s="226"/>
      <c r="F33" s="226"/>
      <c r="G33" s="226"/>
      <c r="H33" s="226"/>
      <c r="I33" s="226"/>
      <c r="J33" s="226"/>
      <c r="K33" s="226"/>
      <c r="L33" s="235"/>
      <c r="M33" s="226"/>
      <c r="N33" s="226"/>
      <c r="O33" s="226"/>
      <c r="P33" s="226"/>
      <c r="Q33" s="226"/>
      <c r="R33" s="226"/>
      <c r="S33" s="226"/>
      <c r="T33" s="486"/>
      <c r="U33" s="235"/>
      <c r="V33" s="235"/>
      <c r="W33" s="235"/>
      <c r="X33" s="235"/>
      <c r="Y33" s="235"/>
      <c r="Z33" s="235"/>
      <c r="AA33" s="220"/>
    </row>
    <row r="34" spans="1:28" ht="12" customHeight="1" thickBot="1">
      <c r="A34" s="177" t="s">
        <v>29</v>
      </c>
      <c r="B34" s="213"/>
      <c r="C34" s="489" t="s">
        <v>141</v>
      </c>
      <c r="D34" s="478">
        <f aca="true" t="shared" si="10" ref="D34:I34">SUM(D35:D39)</f>
        <v>96152440</v>
      </c>
      <c r="E34" s="228">
        <f t="shared" si="10"/>
        <v>96152440</v>
      </c>
      <c r="F34" s="228">
        <f t="shared" si="10"/>
        <v>96162126</v>
      </c>
      <c r="G34" s="228">
        <f t="shared" si="10"/>
        <v>96194005</v>
      </c>
      <c r="H34" s="228">
        <f t="shared" si="10"/>
        <v>97931624</v>
      </c>
      <c r="I34" s="228">
        <f t="shared" si="10"/>
        <v>92219619</v>
      </c>
      <c r="J34" s="228">
        <f>SUM(J35:J39)</f>
        <v>91706469</v>
      </c>
      <c r="K34" s="406">
        <f>J34/I34</f>
        <v>0.9944355658203272</v>
      </c>
      <c r="L34" s="287">
        <f aca="true" t="shared" si="11" ref="L34:R34">SUM(L35:L39)</f>
        <v>96152440</v>
      </c>
      <c r="M34" s="478">
        <f t="shared" si="11"/>
        <v>96152440</v>
      </c>
      <c r="N34" s="478">
        <f t="shared" si="11"/>
        <v>96162126</v>
      </c>
      <c r="O34" s="478">
        <f t="shared" si="11"/>
        <v>96194005</v>
      </c>
      <c r="P34" s="478">
        <f t="shared" si="11"/>
        <v>97931624</v>
      </c>
      <c r="Q34" s="478">
        <f t="shared" si="11"/>
        <v>92219619</v>
      </c>
      <c r="R34" s="478">
        <f t="shared" si="11"/>
        <v>91706469</v>
      </c>
      <c r="S34" s="406">
        <f>R34/Q34</f>
        <v>0.9944355658203272</v>
      </c>
      <c r="T34" s="478">
        <f aca="true" t="shared" si="12" ref="T34:Z34">SUM(T35:T39)</f>
        <v>4847310</v>
      </c>
      <c r="U34" s="228">
        <f t="shared" si="12"/>
        <v>4847310</v>
      </c>
      <c r="V34" s="228">
        <f t="shared" si="12"/>
        <v>4847310</v>
      </c>
      <c r="W34" s="228">
        <f t="shared" si="12"/>
        <v>4847310</v>
      </c>
      <c r="X34" s="228">
        <f t="shared" si="12"/>
        <v>4847310</v>
      </c>
      <c r="Y34" s="228">
        <f t="shared" si="12"/>
        <v>4847310</v>
      </c>
      <c r="Z34" s="228">
        <f t="shared" si="12"/>
        <v>4551213</v>
      </c>
      <c r="AA34" s="406">
        <f>Z34/Y34</f>
        <v>0.9389151921374949</v>
      </c>
      <c r="AB34" s="472">
        <f>SUM(AB35:AB39)</f>
        <v>0</v>
      </c>
    </row>
    <row r="35" spans="1:28" ht="12" customHeight="1">
      <c r="A35" s="214"/>
      <c r="B35" s="215" t="s">
        <v>115</v>
      </c>
      <c r="C35" s="490" t="s">
        <v>142</v>
      </c>
      <c r="D35" s="496">
        <v>59462996</v>
      </c>
      <c r="E35" s="236">
        <v>59462996</v>
      </c>
      <c r="F35" s="236">
        <v>59462996</v>
      </c>
      <c r="G35" s="236">
        <f>59462996+2</f>
        <v>59462998</v>
      </c>
      <c r="H35" s="236">
        <f>59462996+2+1130000+90000</f>
        <v>60682998</v>
      </c>
      <c r="I35" s="236">
        <v>58424102</v>
      </c>
      <c r="J35" s="236">
        <v>58226440</v>
      </c>
      <c r="K35" s="1007">
        <f>J35/I35</f>
        <v>0.9966167729886546</v>
      </c>
      <c r="L35" s="1013">
        <v>59462996</v>
      </c>
      <c r="M35" s="496">
        <v>59462996</v>
      </c>
      <c r="N35" s="496">
        <v>59462996</v>
      </c>
      <c r="O35" s="496">
        <f>59462996+2</f>
        <v>59462998</v>
      </c>
      <c r="P35" s="496">
        <f>59462996+2+1130000+90000</f>
        <v>60682998</v>
      </c>
      <c r="Q35" s="496">
        <v>58424102</v>
      </c>
      <c r="R35" s="496">
        <v>58226440</v>
      </c>
      <c r="S35" s="1007">
        <f>R35/Q35</f>
        <v>0.9966167729886546</v>
      </c>
      <c r="T35" s="480">
        <v>2225600</v>
      </c>
      <c r="U35" s="229">
        <v>2225600</v>
      </c>
      <c r="V35" s="229">
        <v>2225600</v>
      </c>
      <c r="W35" s="229">
        <v>2225600</v>
      </c>
      <c r="X35" s="229">
        <v>2225600</v>
      </c>
      <c r="Y35" s="229">
        <v>2225600</v>
      </c>
      <c r="Z35" s="229">
        <v>2225600</v>
      </c>
      <c r="AA35" s="1007">
        <f>Z35/Y35</f>
        <v>1</v>
      </c>
      <c r="AB35" s="501"/>
    </row>
    <row r="36" spans="1:28" ht="12" customHeight="1">
      <c r="A36" s="216"/>
      <c r="B36" s="217" t="s">
        <v>116</v>
      </c>
      <c r="C36" s="491" t="s">
        <v>53</v>
      </c>
      <c r="D36" s="497">
        <v>16160618</v>
      </c>
      <c r="E36" s="237">
        <v>16160618</v>
      </c>
      <c r="F36" s="237">
        <v>16160618</v>
      </c>
      <c r="G36" s="237">
        <f>16160618+8429</f>
        <v>16169047</v>
      </c>
      <c r="H36" s="237">
        <f>16160618+8429+305100+44982</f>
        <v>16519129</v>
      </c>
      <c r="I36" s="237">
        <v>15945020</v>
      </c>
      <c r="J36" s="237">
        <v>15909672</v>
      </c>
      <c r="K36" s="1007">
        <f>J36/I36</f>
        <v>0.9977831322883257</v>
      </c>
      <c r="L36" s="1005">
        <v>16160618</v>
      </c>
      <c r="M36" s="497">
        <v>16160618</v>
      </c>
      <c r="N36" s="497">
        <v>16160618</v>
      </c>
      <c r="O36" s="497">
        <f>16160618+8429</f>
        <v>16169047</v>
      </c>
      <c r="P36" s="497">
        <f>16160618+8429+305100+44982</f>
        <v>16519129</v>
      </c>
      <c r="Q36" s="497">
        <v>15945020</v>
      </c>
      <c r="R36" s="497">
        <v>15909672</v>
      </c>
      <c r="S36" s="1007">
        <f>R36/Q36</f>
        <v>0.9977831322883257</v>
      </c>
      <c r="T36" s="480">
        <v>568827</v>
      </c>
      <c r="U36" s="229">
        <v>568827</v>
      </c>
      <c r="V36" s="229">
        <v>568827</v>
      </c>
      <c r="W36" s="229">
        <v>568827</v>
      </c>
      <c r="X36" s="229">
        <v>568827</v>
      </c>
      <c r="Y36" s="229">
        <v>568827</v>
      </c>
      <c r="Z36" s="229">
        <v>568827</v>
      </c>
      <c r="AA36" s="1007">
        <f>Z36/Y36</f>
        <v>1</v>
      </c>
      <c r="AB36" s="501"/>
    </row>
    <row r="37" spans="1:28" ht="12" customHeight="1">
      <c r="A37" s="216"/>
      <c r="B37" s="217" t="s">
        <v>117</v>
      </c>
      <c r="C37" s="491" t="s">
        <v>143</v>
      </c>
      <c r="D37" s="497">
        <v>20528826</v>
      </c>
      <c r="E37" s="237">
        <v>20528826</v>
      </c>
      <c r="F37" s="237">
        <f>20528826+7186</f>
        <v>20536012</v>
      </c>
      <c r="G37" s="237">
        <f>20528826+7186+23448</f>
        <v>20559460</v>
      </c>
      <c r="H37" s="237">
        <f>20528826+7186+23448+3600+163937</f>
        <v>20726997</v>
      </c>
      <c r="I37" s="237">
        <v>17847997</v>
      </c>
      <c r="J37" s="237">
        <v>17567857</v>
      </c>
      <c r="K37" s="1007">
        <f>J37/I37</f>
        <v>0.9843041210730817</v>
      </c>
      <c r="L37" s="1005">
        <v>20528826</v>
      </c>
      <c r="M37" s="497">
        <v>20528826</v>
      </c>
      <c r="N37" s="497">
        <f>20528826+7186</f>
        <v>20536012</v>
      </c>
      <c r="O37" s="497">
        <f>20528826+7186+23448</f>
        <v>20559460</v>
      </c>
      <c r="P37" s="497">
        <f>20528826+7186+23448+3600+163937</f>
        <v>20726997</v>
      </c>
      <c r="Q37" s="497">
        <v>17847997</v>
      </c>
      <c r="R37" s="497">
        <v>17567857</v>
      </c>
      <c r="S37" s="1007">
        <f>R37/Q37</f>
        <v>0.9843041210730817</v>
      </c>
      <c r="T37" s="480">
        <v>2052883</v>
      </c>
      <c r="U37" s="229">
        <v>2052883</v>
      </c>
      <c r="V37" s="229">
        <v>2052883</v>
      </c>
      <c r="W37" s="229">
        <v>2052883</v>
      </c>
      <c r="X37" s="229">
        <v>2052883</v>
      </c>
      <c r="Y37" s="229">
        <v>2052883</v>
      </c>
      <c r="Z37" s="229">
        <v>1756786</v>
      </c>
      <c r="AA37" s="1007">
        <f>Z37/Y37</f>
        <v>0.855765282288372</v>
      </c>
      <c r="AB37" s="501"/>
    </row>
    <row r="38" spans="1:28" s="206" customFormat="1" ht="12" customHeight="1">
      <c r="A38" s="216"/>
      <c r="B38" s="217" t="s">
        <v>118</v>
      </c>
      <c r="C38" s="491" t="s">
        <v>85</v>
      </c>
      <c r="D38" s="497"/>
      <c r="E38" s="237"/>
      <c r="F38" s="237">
        <v>2500</v>
      </c>
      <c r="G38" s="237">
        <v>2500</v>
      </c>
      <c r="H38" s="237">
        <v>2500</v>
      </c>
      <c r="I38" s="237">
        <v>2500</v>
      </c>
      <c r="J38" s="237">
        <v>2500</v>
      </c>
      <c r="K38" s="1007">
        <f>J38/I38</f>
        <v>1</v>
      </c>
      <c r="L38" s="1005"/>
      <c r="M38" s="497"/>
      <c r="N38" s="497">
        <v>2500</v>
      </c>
      <c r="O38" s="497">
        <v>2500</v>
      </c>
      <c r="P38" s="497">
        <v>2500</v>
      </c>
      <c r="Q38" s="497">
        <v>2500</v>
      </c>
      <c r="R38" s="497">
        <v>2500</v>
      </c>
      <c r="S38" s="1007">
        <f>R38/Q38</f>
        <v>1</v>
      </c>
      <c r="T38" s="480"/>
      <c r="U38" s="229"/>
      <c r="V38" s="229"/>
      <c r="W38" s="229"/>
      <c r="X38" s="229"/>
      <c r="Y38" s="229"/>
      <c r="Z38" s="229"/>
      <c r="AA38" s="173"/>
      <c r="AB38" s="501"/>
    </row>
    <row r="39" spans="1:28" ht="12" customHeight="1" thickBot="1">
      <c r="A39" s="216"/>
      <c r="B39" s="217" t="s">
        <v>52</v>
      </c>
      <c r="C39" s="491" t="s">
        <v>87</v>
      </c>
      <c r="D39" s="497"/>
      <c r="E39" s="237"/>
      <c r="F39" s="237"/>
      <c r="G39" s="237"/>
      <c r="H39" s="237"/>
      <c r="I39" s="237"/>
      <c r="J39" s="237"/>
      <c r="K39" s="218"/>
      <c r="L39" s="1005"/>
      <c r="M39" s="497"/>
      <c r="N39" s="497"/>
      <c r="O39" s="497"/>
      <c r="P39" s="497"/>
      <c r="Q39" s="497"/>
      <c r="R39" s="497"/>
      <c r="S39" s="502"/>
      <c r="T39" s="497"/>
      <c r="U39" s="237"/>
      <c r="V39" s="237"/>
      <c r="W39" s="237"/>
      <c r="X39" s="237"/>
      <c r="Y39" s="237"/>
      <c r="Z39" s="237"/>
      <c r="AA39" s="218"/>
      <c r="AB39" s="502"/>
    </row>
    <row r="40" spans="1:28" ht="12" customHeight="1" thickBot="1">
      <c r="A40" s="177" t="s">
        <v>30</v>
      </c>
      <c r="B40" s="213"/>
      <c r="C40" s="489" t="s">
        <v>144</v>
      </c>
      <c r="D40" s="478">
        <f aca="true" t="shared" si="13" ref="D40:I40">SUM(D41:D44)</f>
        <v>889000</v>
      </c>
      <c r="E40" s="228">
        <f t="shared" si="13"/>
        <v>889000</v>
      </c>
      <c r="F40" s="228">
        <f t="shared" si="13"/>
        <v>889000</v>
      </c>
      <c r="G40" s="228">
        <f t="shared" si="13"/>
        <v>889000</v>
      </c>
      <c r="H40" s="228">
        <f t="shared" si="13"/>
        <v>889000</v>
      </c>
      <c r="I40" s="228">
        <f t="shared" si="13"/>
        <v>755846</v>
      </c>
      <c r="J40" s="228">
        <f>SUM(J41:J44)</f>
        <v>755846</v>
      </c>
      <c r="K40" s="406">
        <f>J40/I40</f>
        <v>1</v>
      </c>
      <c r="L40" s="287">
        <f aca="true" t="shared" si="14" ref="L40:R40">SUM(L41:L44)</f>
        <v>889000</v>
      </c>
      <c r="M40" s="478">
        <f t="shared" si="14"/>
        <v>889000</v>
      </c>
      <c r="N40" s="478">
        <f t="shared" si="14"/>
        <v>889000</v>
      </c>
      <c r="O40" s="478">
        <f t="shared" si="14"/>
        <v>889000</v>
      </c>
      <c r="P40" s="478">
        <f t="shared" si="14"/>
        <v>889000</v>
      </c>
      <c r="Q40" s="478">
        <f t="shared" si="14"/>
        <v>755846</v>
      </c>
      <c r="R40" s="478">
        <f t="shared" si="14"/>
        <v>755846</v>
      </c>
      <c r="S40" s="406">
        <f>R40/Q40</f>
        <v>1</v>
      </c>
      <c r="T40" s="478">
        <f aca="true" t="shared" si="15" ref="T40:Z40">SUM(T41:T44)</f>
        <v>0</v>
      </c>
      <c r="U40" s="228">
        <f t="shared" si="15"/>
        <v>0</v>
      </c>
      <c r="V40" s="228">
        <f t="shared" si="15"/>
        <v>0</v>
      </c>
      <c r="W40" s="228">
        <f t="shared" si="15"/>
        <v>0</v>
      </c>
      <c r="X40" s="228">
        <f t="shared" si="15"/>
        <v>0</v>
      </c>
      <c r="Y40" s="228">
        <f t="shared" si="15"/>
        <v>0</v>
      </c>
      <c r="Z40" s="228">
        <f t="shared" si="15"/>
        <v>0</v>
      </c>
      <c r="AA40" s="167"/>
      <c r="AB40" s="472">
        <f>SUM(AB41:AB44)</f>
        <v>0</v>
      </c>
    </row>
    <row r="41" spans="1:28" ht="12" customHeight="1">
      <c r="A41" s="214"/>
      <c r="B41" s="215" t="s">
        <v>145</v>
      </c>
      <c r="C41" s="490" t="s">
        <v>97</v>
      </c>
      <c r="D41" s="496">
        <v>889000</v>
      </c>
      <c r="E41" s="236">
        <v>889000</v>
      </c>
      <c r="F41" s="236">
        <v>889000</v>
      </c>
      <c r="G41" s="236">
        <v>889000</v>
      </c>
      <c r="H41" s="236">
        <v>889000</v>
      </c>
      <c r="I41" s="236">
        <v>755846</v>
      </c>
      <c r="J41" s="236">
        <v>755846</v>
      </c>
      <c r="K41" s="1007">
        <f>J41/I41</f>
        <v>1</v>
      </c>
      <c r="L41" s="1013">
        <v>889000</v>
      </c>
      <c r="M41" s="496">
        <v>889000</v>
      </c>
      <c r="N41" s="496">
        <v>889000</v>
      </c>
      <c r="O41" s="496">
        <v>889000</v>
      </c>
      <c r="P41" s="496">
        <v>889000</v>
      </c>
      <c r="Q41" s="496">
        <v>755846</v>
      </c>
      <c r="R41" s="496">
        <v>755846</v>
      </c>
      <c r="S41" s="1007">
        <f>R41/Q41</f>
        <v>1</v>
      </c>
      <c r="T41" s="480"/>
      <c r="U41" s="229"/>
      <c r="V41" s="229"/>
      <c r="W41" s="229"/>
      <c r="X41" s="229"/>
      <c r="Y41" s="229"/>
      <c r="Z41" s="229"/>
      <c r="AA41" s="173"/>
      <c r="AB41" s="501"/>
    </row>
    <row r="42" spans="1:28" ht="12" customHeight="1">
      <c r="A42" s="216"/>
      <c r="B42" s="217" t="s">
        <v>146</v>
      </c>
      <c r="C42" s="491" t="s">
        <v>98</v>
      </c>
      <c r="D42" s="497">
        <v>0</v>
      </c>
      <c r="E42" s="237">
        <v>0</v>
      </c>
      <c r="F42" s="237">
        <v>0</v>
      </c>
      <c r="G42" s="237">
        <v>0</v>
      </c>
      <c r="H42" s="237">
        <v>0</v>
      </c>
      <c r="I42" s="237"/>
      <c r="J42" s="237"/>
      <c r="K42" s="218">
        <v>0</v>
      </c>
      <c r="L42" s="1005">
        <v>0</v>
      </c>
      <c r="M42" s="497">
        <v>0</v>
      </c>
      <c r="N42" s="497">
        <v>0</v>
      </c>
      <c r="O42" s="497">
        <v>0</v>
      </c>
      <c r="P42" s="497">
        <v>0</v>
      </c>
      <c r="Q42" s="497"/>
      <c r="R42" s="497"/>
      <c r="S42" s="502">
        <v>0</v>
      </c>
      <c r="T42" s="497"/>
      <c r="U42" s="237"/>
      <c r="V42" s="237"/>
      <c r="W42" s="237"/>
      <c r="X42" s="237"/>
      <c r="Y42" s="237"/>
      <c r="Z42" s="237"/>
      <c r="AA42" s="218"/>
      <c r="AB42" s="502"/>
    </row>
    <row r="43" spans="1:28" ht="15" customHeight="1">
      <c r="A43" s="216"/>
      <c r="B43" s="217" t="s">
        <v>147</v>
      </c>
      <c r="C43" s="491" t="s">
        <v>148</v>
      </c>
      <c r="D43" s="497"/>
      <c r="E43" s="237"/>
      <c r="F43" s="237"/>
      <c r="G43" s="237"/>
      <c r="H43" s="237"/>
      <c r="I43" s="237"/>
      <c r="J43" s="237"/>
      <c r="K43" s="218"/>
      <c r="L43" s="1005"/>
      <c r="M43" s="497"/>
      <c r="N43" s="497"/>
      <c r="O43" s="497"/>
      <c r="P43" s="497"/>
      <c r="Q43" s="497"/>
      <c r="R43" s="497"/>
      <c r="S43" s="502"/>
      <c r="T43" s="497"/>
      <c r="U43" s="237"/>
      <c r="V43" s="237"/>
      <c r="W43" s="237"/>
      <c r="X43" s="237"/>
      <c r="Y43" s="237"/>
      <c r="Z43" s="237"/>
      <c r="AA43" s="218"/>
      <c r="AB43" s="502"/>
    </row>
    <row r="44" spans="1:28" ht="23.25" thickBot="1">
      <c r="A44" s="216"/>
      <c r="B44" s="217" t="s">
        <v>149</v>
      </c>
      <c r="C44" s="491" t="s">
        <v>150</v>
      </c>
      <c r="D44" s="497"/>
      <c r="E44" s="237"/>
      <c r="F44" s="237"/>
      <c r="G44" s="237"/>
      <c r="H44" s="237"/>
      <c r="I44" s="237"/>
      <c r="J44" s="237"/>
      <c r="K44" s="218"/>
      <c r="L44" s="1005"/>
      <c r="M44" s="497"/>
      <c r="N44" s="497"/>
      <c r="O44" s="497"/>
      <c r="P44" s="497"/>
      <c r="Q44" s="497"/>
      <c r="R44" s="497"/>
      <c r="S44" s="502"/>
      <c r="T44" s="497"/>
      <c r="U44" s="237"/>
      <c r="V44" s="237"/>
      <c r="W44" s="237"/>
      <c r="X44" s="237"/>
      <c r="Y44" s="237"/>
      <c r="Z44" s="237"/>
      <c r="AA44" s="218"/>
      <c r="AB44" s="502"/>
    </row>
    <row r="45" spans="1:28" ht="15" customHeight="1" hidden="1" thickBot="1">
      <c r="A45" s="177" t="s">
        <v>10</v>
      </c>
      <c r="B45" s="213"/>
      <c r="C45" s="492" t="s">
        <v>151</v>
      </c>
      <c r="D45" s="483"/>
      <c r="E45" s="232"/>
      <c r="F45" s="232"/>
      <c r="G45" s="232"/>
      <c r="H45" s="232"/>
      <c r="I45" s="232"/>
      <c r="J45" s="232"/>
      <c r="K45" s="187"/>
      <c r="L45" s="284"/>
      <c r="M45" s="483"/>
      <c r="N45" s="483"/>
      <c r="O45" s="483"/>
      <c r="P45" s="483"/>
      <c r="Q45" s="483"/>
      <c r="R45" s="483"/>
      <c r="S45" s="473"/>
      <c r="T45" s="483"/>
      <c r="U45" s="232"/>
      <c r="V45" s="232"/>
      <c r="W45" s="232"/>
      <c r="X45" s="232"/>
      <c r="Y45" s="232"/>
      <c r="Z45" s="232"/>
      <c r="AA45" s="187"/>
      <c r="AB45" s="473"/>
    </row>
    <row r="46" spans="1:28" ht="14.25" customHeight="1" hidden="1" thickBot="1">
      <c r="A46" s="197" t="s">
        <v>11</v>
      </c>
      <c r="B46" s="198"/>
      <c r="C46" s="493" t="s">
        <v>152</v>
      </c>
      <c r="D46" s="483"/>
      <c r="E46" s="232"/>
      <c r="F46" s="232"/>
      <c r="G46" s="232"/>
      <c r="H46" s="232"/>
      <c r="I46" s="232"/>
      <c r="J46" s="232"/>
      <c r="K46" s="187"/>
      <c r="L46" s="284"/>
      <c r="M46" s="483"/>
      <c r="N46" s="483"/>
      <c r="O46" s="483"/>
      <c r="P46" s="483"/>
      <c r="Q46" s="483"/>
      <c r="R46" s="483"/>
      <c r="S46" s="473"/>
      <c r="T46" s="483"/>
      <c r="U46" s="232"/>
      <c r="V46" s="232"/>
      <c r="W46" s="232"/>
      <c r="X46" s="232"/>
      <c r="Y46" s="232"/>
      <c r="Z46" s="232"/>
      <c r="AA46" s="187"/>
      <c r="AB46" s="473"/>
    </row>
    <row r="47" spans="1:28" ht="13.5" thickBot="1">
      <c r="A47" s="177" t="s">
        <v>10</v>
      </c>
      <c r="B47" s="219"/>
      <c r="C47" s="494" t="s">
        <v>290</v>
      </c>
      <c r="D47" s="486">
        <f aca="true" t="shared" si="16" ref="D47:I47">D34+D40+D45+D46</f>
        <v>97041440</v>
      </c>
      <c r="E47" s="235">
        <f t="shared" si="16"/>
        <v>97041440</v>
      </c>
      <c r="F47" s="235">
        <f>F34+F40+F45+F46</f>
        <v>97051126</v>
      </c>
      <c r="G47" s="235">
        <f>G34+G40+G45+G46</f>
        <v>97083005</v>
      </c>
      <c r="H47" s="235">
        <f>H34+H40+H45+H46</f>
        <v>98820624</v>
      </c>
      <c r="I47" s="235">
        <f t="shared" si="16"/>
        <v>92975465</v>
      </c>
      <c r="J47" s="235">
        <f>J34+J40+J45+J46</f>
        <v>92462315</v>
      </c>
      <c r="K47" s="406">
        <f>J47/I47</f>
        <v>0.9944808020051311</v>
      </c>
      <c r="L47" s="290">
        <f aca="true" t="shared" si="17" ref="L47:R47">L34+L40+L45+L46</f>
        <v>97041440</v>
      </c>
      <c r="M47" s="486">
        <f t="shared" si="17"/>
        <v>97041440</v>
      </c>
      <c r="N47" s="486">
        <f t="shared" si="17"/>
        <v>97051126</v>
      </c>
      <c r="O47" s="486">
        <f t="shared" si="17"/>
        <v>97083005</v>
      </c>
      <c r="P47" s="486">
        <f t="shared" si="17"/>
        <v>98820624</v>
      </c>
      <c r="Q47" s="486">
        <f t="shared" si="17"/>
        <v>92975465</v>
      </c>
      <c r="R47" s="486">
        <f t="shared" si="17"/>
        <v>92462315</v>
      </c>
      <c r="S47" s="406">
        <f>R47/Q47</f>
        <v>0.9944808020051311</v>
      </c>
      <c r="T47" s="486">
        <f aca="true" t="shared" si="18" ref="T47:Z47">T34+T40+T45+T46</f>
        <v>4847310</v>
      </c>
      <c r="U47" s="235">
        <f t="shared" si="18"/>
        <v>4847310</v>
      </c>
      <c r="V47" s="235">
        <f t="shared" si="18"/>
        <v>4847310</v>
      </c>
      <c r="W47" s="235">
        <f t="shared" si="18"/>
        <v>4847310</v>
      </c>
      <c r="X47" s="235">
        <f t="shared" si="18"/>
        <v>4847310</v>
      </c>
      <c r="Y47" s="235">
        <f t="shared" si="18"/>
        <v>4847310</v>
      </c>
      <c r="Z47" s="235">
        <f t="shared" si="18"/>
        <v>4551213</v>
      </c>
      <c r="AA47" s="1015">
        <f>Z47/X47</f>
        <v>0.9389151921374949</v>
      </c>
      <c r="AB47" s="202">
        <f>AB34+AB40+AB45+AB46</f>
        <v>0</v>
      </c>
    </row>
    <row r="48" spans="1:28" ht="13.5" thickBot="1">
      <c r="A48" s="221"/>
      <c r="B48" s="222"/>
      <c r="C48" s="222"/>
      <c r="D48" s="503"/>
      <c r="E48" s="504"/>
      <c r="F48" s="504"/>
      <c r="G48" s="504"/>
      <c r="H48" s="504"/>
      <c r="I48" s="504"/>
      <c r="J48" s="504"/>
      <c r="K48" s="1016"/>
      <c r="L48" s="1006"/>
      <c r="M48" s="503"/>
      <c r="N48" s="503"/>
      <c r="O48" s="503"/>
      <c r="P48" s="503"/>
      <c r="Q48" s="503"/>
      <c r="R48" s="503"/>
      <c r="S48" s="782"/>
      <c r="T48" s="503"/>
      <c r="U48" s="504"/>
      <c r="V48" s="504"/>
      <c r="W48" s="504"/>
      <c r="X48" s="504"/>
      <c r="Y48" s="504"/>
      <c r="Z48" s="504"/>
      <c r="AA48" s="505"/>
      <c r="AB48" s="1008"/>
    </row>
    <row r="49" spans="1:28" ht="13.5" thickBot="1">
      <c r="A49" s="223" t="s">
        <v>154</v>
      </c>
      <c r="B49" s="224"/>
      <c r="C49" s="495"/>
      <c r="D49" s="506">
        <v>20</v>
      </c>
      <c r="E49" s="240">
        <v>20</v>
      </c>
      <c r="F49" s="240">
        <v>21</v>
      </c>
      <c r="G49" s="240">
        <v>21</v>
      </c>
      <c r="H49" s="240">
        <v>21</v>
      </c>
      <c r="I49" s="240">
        <v>20</v>
      </c>
      <c r="J49" s="240">
        <v>18</v>
      </c>
      <c r="K49" s="406">
        <f>J49/I49</f>
        <v>0.9</v>
      </c>
      <c r="L49" s="1014">
        <v>20</v>
      </c>
      <c r="M49" s="506">
        <v>20</v>
      </c>
      <c r="N49" s="506">
        <v>21</v>
      </c>
      <c r="O49" s="506">
        <v>21</v>
      </c>
      <c r="P49" s="506">
        <v>21</v>
      </c>
      <c r="Q49" s="506">
        <v>20</v>
      </c>
      <c r="R49" s="506">
        <v>18</v>
      </c>
      <c r="S49" s="406">
        <f>R49/Q49</f>
        <v>0.9</v>
      </c>
      <c r="T49" s="506">
        <v>0</v>
      </c>
      <c r="U49" s="240">
        <v>0</v>
      </c>
      <c r="V49" s="240">
        <v>0</v>
      </c>
      <c r="W49" s="240">
        <v>0</v>
      </c>
      <c r="X49" s="240">
        <v>0</v>
      </c>
      <c r="Y49" s="240">
        <v>0</v>
      </c>
      <c r="Z49" s="240">
        <v>0</v>
      </c>
      <c r="AA49" s="498"/>
      <c r="AB49" s="239"/>
    </row>
    <row r="50" spans="1:28" ht="13.5" thickBot="1">
      <c r="A50" s="223" t="s">
        <v>155</v>
      </c>
      <c r="B50" s="224"/>
      <c r="C50" s="495"/>
      <c r="D50" s="506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498"/>
      <c r="L50" s="1014">
        <v>0</v>
      </c>
      <c r="M50" s="506">
        <v>0</v>
      </c>
      <c r="N50" s="506">
        <v>0</v>
      </c>
      <c r="O50" s="506">
        <v>0</v>
      </c>
      <c r="P50" s="506">
        <v>0</v>
      </c>
      <c r="Q50" s="506">
        <v>0</v>
      </c>
      <c r="R50" s="506">
        <v>0</v>
      </c>
      <c r="S50" s="239"/>
      <c r="T50" s="506">
        <v>0</v>
      </c>
      <c r="U50" s="240">
        <v>0</v>
      </c>
      <c r="V50" s="240">
        <v>0</v>
      </c>
      <c r="W50" s="240">
        <v>0</v>
      </c>
      <c r="X50" s="240">
        <v>0</v>
      </c>
      <c r="Y50" s="240">
        <v>0</v>
      </c>
      <c r="Z50" s="240">
        <v>0</v>
      </c>
      <c r="AA50" s="498"/>
      <c r="AB50" s="239"/>
    </row>
    <row r="51" spans="6:19" ht="7.5" customHeight="1">
      <c r="F51" s="241"/>
      <c r="G51" s="241"/>
      <c r="H51" s="241"/>
      <c r="I51" s="241"/>
      <c r="J51" s="241"/>
      <c r="K51" s="241"/>
      <c r="N51" s="241"/>
      <c r="O51" s="241"/>
      <c r="P51" s="241"/>
      <c r="Q51" s="241"/>
      <c r="R51" s="241"/>
      <c r="S51" s="241"/>
    </row>
    <row r="52" spans="1:19" ht="12.75">
      <c r="A52" s="1379" t="s">
        <v>218</v>
      </c>
      <c r="B52" s="1379"/>
      <c r="C52" s="1379"/>
      <c r="N52" s="241"/>
      <c r="O52" s="241"/>
      <c r="P52" s="241"/>
      <c r="Q52" s="241"/>
      <c r="R52" s="241"/>
      <c r="S52" s="241"/>
    </row>
    <row r="53" spans="4:11" ht="12.75">
      <c r="D53" s="241">
        <v>0</v>
      </c>
      <c r="E53" s="241"/>
      <c r="F53" s="241"/>
      <c r="G53" s="241"/>
      <c r="H53" s="241"/>
      <c r="I53" s="241"/>
      <c r="J53" s="241"/>
      <c r="K53" s="241"/>
    </row>
  </sheetData>
  <sheetProtection/>
  <mergeCells count="7">
    <mergeCell ref="C1:T1"/>
    <mergeCell ref="A5:B5"/>
    <mergeCell ref="A3:T3"/>
    <mergeCell ref="A52:C52"/>
    <mergeCell ref="D5:K5"/>
    <mergeCell ref="L5:S5"/>
    <mergeCell ref="T5:A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C19">
      <selection activeCell="C39" sqref="C39"/>
    </sheetView>
  </sheetViews>
  <sheetFormatPr defaultColWidth="9.140625" defaultRowHeight="12.75"/>
  <cols>
    <col min="1" max="1" width="8.28125" style="334" customWidth="1"/>
    <col min="2" max="2" width="8.28125" style="328" customWidth="1"/>
    <col min="3" max="3" width="52.00390625" style="328" customWidth="1"/>
    <col min="4" max="4" width="13.28125" style="328" customWidth="1"/>
    <col min="5" max="5" width="11.28125" style="328" hidden="1" customWidth="1"/>
    <col min="6" max="6" width="11.00390625" style="328" hidden="1" customWidth="1"/>
    <col min="7" max="7" width="12.140625" style="328" hidden="1" customWidth="1"/>
    <col min="8" max="8" width="12.28125" style="328" hidden="1" customWidth="1"/>
    <col min="9" max="9" width="13.00390625" style="328" customWidth="1"/>
    <col min="10" max="10" width="12.140625" style="328" customWidth="1"/>
    <col min="11" max="11" width="9.7109375" style="328" customWidth="1"/>
    <col min="12" max="12" width="13.7109375" style="328" customWidth="1"/>
    <col min="13" max="13" width="11.28125" style="328" hidden="1" customWidth="1"/>
    <col min="14" max="14" width="14.00390625" style="328" hidden="1" customWidth="1"/>
    <col min="15" max="15" width="11.28125" style="328" hidden="1" customWidth="1"/>
    <col min="16" max="16" width="12.28125" style="328" hidden="1" customWidth="1"/>
    <col min="17" max="18" width="13.00390625" style="328" customWidth="1"/>
    <col min="19" max="19" width="10.00390625" style="328" customWidth="1"/>
    <col min="20" max="20" width="13.57421875" style="328" bestFit="1" customWidth="1"/>
    <col min="21" max="21" width="6.28125" style="328" hidden="1" customWidth="1"/>
    <col min="22" max="22" width="7.140625" style="328" hidden="1" customWidth="1"/>
    <col min="23" max="23" width="8.57421875" style="328" customWidth="1"/>
    <col min="24" max="24" width="9.140625" style="328" customWidth="1"/>
    <col min="25" max="16384" width="9.140625" style="328" customWidth="1"/>
  </cols>
  <sheetData>
    <row r="1" spans="1:20" s="150" customFormat="1" ht="21" customHeight="1">
      <c r="A1" s="146"/>
      <c r="B1" s="147"/>
      <c r="C1" s="148"/>
      <c r="D1" s="149"/>
      <c r="E1" s="149"/>
      <c r="F1" s="149"/>
      <c r="G1" s="149"/>
      <c r="H1" s="149"/>
      <c r="I1" s="149"/>
      <c r="J1" s="149"/>
      <c r="K1" s="149"/>
      <c r="L1" s="1375" t="s">
        <v>202</v>
      </c>
      <c r="M1" s="1375"/>
      <c r="N1" s="1375"/>
      <c r="O1" s="1375"/>
      <c r="P1" s="1375"/>
      <c r="Q1" s="1375"/>
      <c r="R1" s="1375"/>
      <c r="S1" s="1375"/>
      <c r="T1" s="1375"/>
    </row>
    <row r="2" spans="1:11" s="150" customFormat="1" ht="21" customHeight="1">
      <c r="A2" s="261"/>
      <c r="B2" s="147"/>
      <c r="C2" s="152"/>
      <c r="D2" s="151"/>
      <c r="E2" s="151"/>
      <c r="F2" s="151"/>
      <c r="G2" s="151"/>
      <c r="H2" s="151"/>
      <c r="I2" s="151"/>
      <c r="J2" s="151"/>
      <c r="K2" s="151"/>
    </row>
    <row r="3" spans="1:20" s="153" customFormat="1" ht="25.5" customHeight="1">
      <c r="A3" s="1378" t="s">
        <v>222</v>
      </c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  <c r="M3" s="1378"/>
      <c r="N3" s="1378"/>
      <c r="O3" s="1378"/>
      <c r="P3" s="1378"/>
      <c r="Q3" s="1378"/>
      <c r="R3" s="1378"/>
      <c r="S3" s="1378"/>
      <c r="T3" s="1378"/>
    </row>
    <row r="4" spans="1:20" s="156" customFormat="1" ht="15.75" customHeight="1" thickBot="1">
      <c r="A4" s="154"/>
      <c r="B4" s="154"/>
      <c r="C4" s="154"/>
      <c r="T4" s="155" t="s">
        <v>501</v>
      </c>
    </row>
    <row r="5" spans="1:23" s="156" customFormat="1" ht="41.25" customHeight="1" thickBot="1">
      <c r="A5" s="154"/>
      <c r="B5" s="154"/>
      <c r="C5" s="154"/>
      <c r="D5" s="1385" t="s">
        <v>5</v>
      </c>
      <c r="E5" s="1386"/>
      <c r="F5" s="1386"/>
      <c r="G5" s="1386"/>
      <c r="H5" s="1386"/>
      <c r="I5" s="1386"/>
      <c r="J5" s="1386"/>
      <c r="K5" s="1387"/>
      <c r="L5" s="1385" t="s">
        <v>109</v>
      </c>
      <c r="M5" s="1386"/>
      <c r="N5" s="1386"/>
      <c r="O5" s="1386"/>
      <c r="P5" s="1386"/>
      <c r="Q5" s="1386"/>
      <c r="R5" s="1386"/>
      <c r="S5" s="1387"/>
      <c r="T5" s="1385" t="s">
        <v>157</v>
      </c>
      <c r="U5" s="1386"/>
      <c r="V5" s="1386"/>
      <c r="W5" s="1386"/>
    </row>
    <row r="6" spans="1:23" ht="13.5" thickBot="1">
      <c r="A6" s="1376" t="s">
        <v>111</v>
      </c>
      <c r="B6" s="1377"/>
      <c r="C6" s="507" t="s">
        <v>112</v>
      </c>
      <c r="D6" s="500" t="s">
        <v>69</v>
      </c>
      <c r="E6" s="157" t="s">
        <v>237</v>
      </c>
      <c r="F6" s="157" t="s">
        <v>240</v>
      </c>
      <c r="G6" s="157" t="s">
        <v>243</v>
      </c>
      <c r="H6" s="157" t="s">
        <v>259</v>
      </c>
      <c r="I6" s="157" t="s">
        <v>264</v>
      </c>
      <c r="J6" s="157" t="s">
        <v>246</v>
      </c>
      <c r="K6" s="471" t="s">
        <v>247</v>
      </c>
      <c r="L6" s="500" t="s">
        <v>69</v>
      </c>
      <c r="M6" s="157" t="s">
        <v>237</v>
      </c>
      <c r="N6" s="157" t="s">
        <v>240</v>
      </c>
      <c r="O6" s="157" t="s">
        <v>243</v>
      </c>
      <c r="P6" s="157" t="s">
        <v>259</v>
      </c>
      <c r="Q6" s="157" t="s">
        <v>264</v>
      </c>
      <c r="R6" s="157" t="s">
        <v>246</v>
      </c>
      <c r="S6" s="471" t="s">
        <v>247</v>
      </c>
      <c r="T6" s="500" t="s">
        <v>601</v>
      </c>
      <c r="U6" s="157" t="s">
        <v>237</v>
      </c>
      <c r="V6" s="157" t="s">
        <v>240</v>
      </c>
      <c r="W6" s="157" t="s">
        <v>246</v>
      </c>
    </row>
    <row r="7" spans="1:23" s="162" customFormat="1" ht="12.75" customHeight="1" thickBot="1">
      <c r="A7" s="159">
        <v>1</v>
      </c>
      <c r="B7" s="160">
        <v>2</v>
      </c>
      <c r="C7" s="314">
        <v>3</v>
      </c>
      <c r="D7" s="159">
        <v>4</v>
      </c>
      <c r="E7" s="160">
        <v>5</v>
      </c>
      <c r="F7" s="160">
        <v>6</v>
      </c>
      <c r="G7" s="160">
        <v>7</v>
      </c>
      <c r="H7" s="160">
        <v>8</v>
      </c>
      <c r="I7" s="160">
        <v>9</v>
      </c>
      <c r="J7" s="160">
        <v>9</v>
      </c>
      <c r="K7" s="161">
        <v>10</v>
      </c>
      <c r="L7" s="159">
        <v>11</v>
      </c>
      <c r="M7" s="160">
        <v>11</v>
      </c>
      <c r="N7" s="160">
        <v>12</v>
      </c>
      <c r="O7" s="160">
        <v>13</v>
      </c>
      <c r="P7" s="160">
        <v>14</v>
      </c>
      <c r="Q7" s="160">
        <v>12</v>
      </c>
      <c r="R7" s="160">
        <v>13</v>
      </c>
      <c r="S7" s="161">
        <v>14</v>
      </c>
      <c r="T7" s="159">
        <v>15</v>
      </c>
      <c r="U7" s="160">
        <v>17</v>
      </c>
      <c r="V7" s="161">
        <v>18</v>
      </c>
      <c r="W7" s="161">
        <v>16</v>
      </c>
    </row>
    <row r="8" spans="1:23" s="162" customFormat="1" ht="15.75" customHeight="1" thickBot="1">
      <c r="A8" s="163"/>
      <c r="B8" s="164"/>
      <c r="C8" s="164" t="s">
        <v>113</v>
      </c>
      <c r="D8" s="477"/>
      <c r="E8" s="227"/>
      <c r="F8" s="517"/>
      <c r="G8" s="517"/>
      <c r="H8" s="517"/>
      <c r="I8" s="517"/>
      <c r="J8" s="517"/>
      <c r="K8" s="789"/>
      <c r="L8" s="519"/>
      <c r="M8" s="227"/>
      <c r="N8" s="285"/>
      <c r="O8" s="285"/>
      <c r="P8" s="285"/>
      <c r="Q8" s="285"/>
      <c r="R8" s="285"/>
      <c r="S8" s="286"/>
      <c r="T8" s="519"/>
      <c r="U8" s="285"/>
      <c r="V8" s="286"/>
      <c r="W8" s="286"/>
    </row>
    <row r="9" spans="1:23" s="168" customFormat="1" ht="12" customHeight="1" thickBot="1">
      <c r="A9" s="159" t="s">
        <v>29</v>
      </c>
      <c r="B9" s="165"/>
      <c r="C9" s="508" t="s">
        <v>351</v>
      </c>
      <c r="D9" s="478">
        <v>32771000</v>
      </c>
      <c r="E9" s="228">
        <v>32771000</v>
      </c>
      <c r="F9" s="228">
        <f>SUM(F10:F17)</f>
        <v>33488843</v>
      </c>
      <c r="G9" s="228">
        <f>SUM(G10:G17)</f>
        <v>33491917</v>
      </c>
      <c r="H9" s="228">
        <f>SUM(H10:H17)</f>
        <v>33491917</v>
      </c>
      <c r="I9" s="228">
        <f>SUM(I10:I17)</f>
        <v>40244814</v>
      </c>
      <c r="J9" s="228">
        <f>SUM(J10:J17)</f>
        <v>40140426</v>
      </c>
      <c r="K9" s="406">
        <f>J9/I9</f>
        <v>0.9974061751161281</v>
      </c>
      <c r="L9" s="478">
        <v>32771000</v>
      </c>
      <c r="M9" s="228">
        <v>32771000</v>
      </c>
      <c r="N9" s="228">
        <f>SUM(N10:N17)</f>
        <v>33488843</v>
      </c>
      <c r="O9" s="228">
        <f>SUM(O10:O17)</f>
        <v>33491917</v>
      </c>
      <c r="P9" s="228">
        <f>SUM(P10:P17)</f>
        <v>33491917</v>
      </c>
      <c r="Q9" s="228">
        <f>SUM(Q10:Q17)</f>
        <v>40244814</v>
      </c>
      <c r="R9" s="228">
        <f>SUM(R10:R17)</f>
        <v>40140426</v>
      </c>
      <c r="S9" s="406">
        <f>R9/Q9</f>
        <v>0.9974061751161281</v>
      </c>
      <c r="T9" s="478"/>
      <c r="U9" s="228"/>
      <c r="V9" s="167"/>
      <c r="W9" s="167"/>
    </row>
    <row r="10" spans="1:23" s="168" customFormat="1" ht="12" customHeight="1">
      <c r="A10" s="169"/>
      <c r="B10" s="180" t="s">
        <v>38</v>
      </c>
      <c r="C10" s="947" t="s">
        <v>553</v>
      </c>
      <c r="D10" s="931"/>
      <c r="E10" s="928"/>
      <c r="F10" s="929">
        <v>9537000</v>
      </c>
      <c r="G10" s="929">
        <f>9537000+5259000</f>
        <v>14796000</v>
      </c>
      <c r="H10" s="929">
        <f>9537000+5259000</f>
        <v>14796000</v>
      </c>
      <c r="I10" s="929">
        <v>18006879</v>
      </c>
      <c r="J10" s="929">
        <v>17973739</v>
      </c>
      <c r="K10" s="783">
        <f aca="true" t="shared" si="0" ref="K10:K16">J10/I10</f>
        <v>0.9981595922313912</v>
      </c>
      <c r="L10" s="931"/>
      <c r="M10" s="928"/>
      <c r="N10" s="929">
        <v>9537000</v>
      </c>
      <c r="O10" s="929">
        <f>9537000+5259000</f>
        <v>14796000</v>
      </c>
      <c r="P10" s="929">
        <f>9537000+5259000</f>
        <v>14796000</v>
      </c>
      <c r="Q10" s="929">
        <v>18006879</v>
      </c>
      <c r="R10" s="929">
        <v>17973739</v>
      </c>
      <c r="S10" s="783">
        <f aca="true" t="shared" si="1" ref="S10:S16">R10/Q10</f>
        <v>0.9981595922313912</v>
      </c>
      <c r="T10" s="931"/>
      <c r="U10" s="928"/>
      <c r="V10" s="930"/>
      <c r="W10" s="930"/>
    </row>
    <row r="11" spans="1:23" s="168" customFormat="1" ht="12" customHeight="1">
      <c r="A11" s="171"/>
      <c r="B11" s="170" t="s">
        <v>39</v>
      </c>
      <c r="C11" s="948" t="s">
        <v>349</v>
      </c>
      <c r="D11" s="936"/>
      <c r="E11" s="933"/>
      <c r="F11" s="934">
        <v>5648017</v>
      </c>
      <c r="G11" s="934">
        <v>5648017</v>
      </c>
      <c r="H11" s="934">
        <v>5648017</v>
      </c>
      <c r="I11" s="934">
        <v>5787211</v>
      </c>
      <c r="J11" s="934">
        <v>5787211</v>
      </c>
      <c r="K11" s="783">
        <f t="shared" si="0"/>
        <v>1</v>
      </c>
      <c r="L11" s="936"/>
      <c r="M11" s="933"/>
      <c r="N11" s="934">
        <v>5648017</v>
      </c>
      <c r="O11" s="934">
        <v>5648017</v>
      </c>
      <c r="P11" s="934">
        <v>5648017</v>
      </c>
      <c r="Q11" s="934">
        <v>5787211</v>
      </c>
      <c r="R11" s="934">
        <v>5787211</v>
      </c>
      <c r="S11" s="783">
        <f t="shared" si="1"/>
        <v>1</v>
      </c>
      <c r="T11" s="936"/>
      <c r="U11" s="933"/>
      <c r="V11" s="935"/>
      <c r="W11" s="935"/>
    </row>
    <row r="12" spans="1:23" s="168" customFormat="1" ht="12" customHeight="1">
      <c r="A12" s="171"/>
      <c r="B12" s="170" t="s">
        <v>40</v>
      </c>
      <c r="C12" s="948" t="s">
        <v>555</v>
      </c>
      <c r="D12" s="936"/>
      <c r="E12" s="933"/>
      <c r="F12" s="934">
        <v>1520000</v>
      </c>
      <c r="G12" s="934">
        <v>1520000</v>
      </c>
      <c r="H12" s="934">
        <v>1520000</v>
      </c>
      <c r="I12" s="934">
        <v>1545475</v>
      </c>
      <c r="J12" s="934">
        <v>1493650</v>
      </c>
      <c r="K12" s="783">
        <f t="shared" si="0"/>
        <v>0.9664666202947314</v>
      </c>
      <c r="L12" s="936"/>
      <c r="M12" s="933"/>
      <c r="N12" s="934">
        <v>1520000</v>
      </c>
      <c r="O12" s="934">
        <v>1520000</v>
      </c>
      <c r="P12" s="934">
        <v>1520000</v>
      </c>
      <c r="Q12" s="934">
        <v>1545475</v>
      </c>
      <c r="R12" s="934">
        <v>1493650</v>
      </c>
      <c r="S12" s="783">
        <f t="shared" si="1"/>
        <v>0.9664666202947314</v>
      </c>
      <c r="T12" s="936"/>
      <c r="U12" s="933"/>
      <c r="V12" s="935"/>
      <c r="W12" s="935"/>
    </row>
    <row r="13" spans="1:23" s="168" customFormat="1" ht="12" customHeight="1">
      <c r="A13" s="171"/>
      <c r="B13" s="170" t="s">
        <v>51</v>
      </c>
      <c r="C13" s="948" t="s">
        <v>556</v>
      </c>
      <c r="D13" s="936"/>
      <c r="E13" s="933"/>
      <c r="F13" s="934">
        <v>10073000</v>
      </c>
      <c r="G13" s="934">
        <f>10073000-5259000</f>
        <v>4814000</v>
      </c>
      <c r="H13" s="934">
        <f>10073000-5259000</f>
        <v>4814000</v>
      </c>
      <c r="I13" s="934">
        <v>4869000</v>
      </c>
      <c r="J13" s="934">
        <v>4849577</v>
      </c>
      <c r="K13" s="783">
        <f t="shared" si="0"/>
        <v>0.9960108851920312</v>
      </c>
      <c r="L13" s="936"/>
      <c r="M13" s="933"/>
      <c r="N13" s="934">
        <v>10073000</v>
      </c>
      <c r="O13" s="934">
        <f>10073000-5259000</f>
        <v>4814000</v>
      </c>
      <c r="P13" s="934">
        <f>10073000-5259000</f>
        <v>4814000</v>
      </c>
      <c r="Q13" s="934">
        <v>4869000</v>
      </c>
      <c r="R13" s="934">
        <v>4849577</v>
      </c>
      <c r="S13" s="783">
        <f t="shared" si="1"/>
        <v>0.9960108851920312</v>
      </c>
      <c r="T13" s="936"/>
      <c r="U13" s="933"/>
      <c r="V13" s="935"/>
      <c r="W13" s="935"/>
    </row>
    <row r="14" spans="1:23" s="168" customFormat="1" ht="12" customHeight="1">
      <c r="A14" s="171"/>
      <c r="B14" s="170" t="s">
        <v>52</v>
      </c>
      <c r="C14" s="949" t="s">
        <v>557</v>
      </c>
      <c r="D14" s="942"/>
      <c r="E14" s="939"/>
      <c r="F14" s="940">
        <v>6641000</v>
      </c>
      <c r="G14" s="940">
        <v>6641000</v>
      </c>
      <c r="H14" s="940">
        <v>6641000</v>
      </c>
      <c r="I14" s="940">
        <v>7711036</v>
      </c>
      <c r="J14" s="940">
        <v>7711036</v>
      </c>
      <c r="K14" s="783">
        <f t="shared" si="0"/>
        <v>1</v>
      </c>
      <c r="L14" s="942"/>
      <c r="M14" s="939"/>
      <c r="N14" s="940">
        <v>6641000</v>
      </c>
      <c r="O14" s="940">
        <v>6641000</v>
      </c>
      <c r="P14" s="940">
        <v>6641000</v>
      </c>
      <c r="Q14" s="940">
        <v>7711036</v>
      </c>
      <c r="R14" s="940">
        <v>7711036</v>
      </c>
      <c r="S14" s="783">
        <f t="shared" si="1"/>
        <v>1</v>
      </c>
      <c r="T14" s="942"/>
      <c r="U14" s="939"/>
      <c r="V14" s="941"/>
      <c r="W14" s="941"/>
    </row>
    <row r="15" spans="1:23" s="168" customFormat="1" ht="12" customHeight="1">
      <c r="A15" s="171"/>
      <c r="B15" s="170" t="s">
        <v>558</v>
      </c>
      <c r="C15" s="949" t="s">
        <v>325</v>
      </c>
      <c r="D15" s="942"/>
      <c r="E15" s="939"/>
      <c r="F15" s="940">
        <v>1000</v>
      </c>
      <c r="G15" s="940">
        <v>2000</v>
      </c>
      <c r="H15" s="940">
        <v>2000</v>
      </c>
      <c r="I15" s="940">
        <v>2231</v>
      </c>
      <c r="J15" s="940">
        <v>2231</v>
      </c>
      <c r="K15" s="783">
        <f t="shared" si="0"/>
        <v>1</v>
      </c>
      <c r="L15" s="942"/>
      <c r="M15" s="939"/>
      <c r="N15" s="940">
        <v>1000</v>
      </c>
      <c r="O15" s="940">
        <v>2000</v>
      </c>
      <c r="P15" s="940">
        <v>2000</v>
      </c>
      <c r="Q15" s="940">
        <v>2231</v>
      </c>
      <c r="R15" s="940">
        <v>2231</v>
      </c>
      <c r="S15" s="783">
        <f t="shared" si="1"/>
        <v>1</v>
      </c>
      <c r="T15" s="942"/>
      <c r="U15" s="939"/>
      <c r="V15" s="941"/>
      <c r="W15" s="941"/>
    </row>
    <row r="16" spans="1:23" s="168" customFormat="1" ht="12" customHeight="1">
      <c r="A16" s="171"/>
      <c r="B16" s="170" t="s">
        <v>559</v>
      </c>
      <c r="C16" s="938" t="s">
        <v>554</v>
      </c>
      <c r="D16" s="942"/>
      <c r="E16" s="939"/>
      <c r="F16" s="940">
        <v>68826</v>
      </c>
      <c r="G16" s="940">
        <f>68826+2074</f>
        <v>70900</v>
      </c>
      <c r="H16" s="940">
        <f>68826+2074</f>
        <v>70900</v>
      </c>
      <c r="I16" s="940">
        <v>2322982</v>
      </c>
      <c r="J16" s="940">
        <v>2322982</v>
      </c>
      <c r="K16" s="783">
        <f t="shared" si="0"/>
        <v>1</v>
      </c>
      <c r="L16" s="942"/>
      <c r="M16" s="939"/>
      <c r="N16" s="940">
        <v>68826</v>
      </c>
      <c r="O16" s="940">
        <f>68826+2074</f>
        <v>70900</v>
      </c>
      <c r="P16" s="940">
        <f>68826+2074</f>
        <v>70900</v>
      </c>
      <c r="Q16" s="940">
        <v>2322982</v>
      </c>
      <c r="R16" s="940">
        <v>2322982</v>
      </c>
      <c r="S16" s="783">
        <f t="shared" si="1"/>
        <v>1</v>
      </c>
      <c r="T16" s="942"/>
      <c r="U16" s="939"/>
      <c r="V16" s="941"/>
      <c r="W16" s="941"/>
    </row>
    <row r="17" spans="1:23" s="168" customFormat="1" ht="12" customHeight="1" thickBot="1">
      <c r="A17" s="950"/>
      <c r="B17" s="951"/>
      <c r="C17" s="943"/>
      <c r="D17" s="944"/>
      <c r="E17" s="945"/>
      <c r="F17" s="945"/>
      <c r="G17" s="945"/>
      <c r="H17" s="945"/>
      <c r="I17" s="945"/>
      <c r="J17" s="945"/>
      <c r="K17" s="946"/>
      <c r="L17" s="944"/>
      <c r="M17" s="945"/>
      <c r="N17" s="945"/>
      <c r="O17" s="945"/>
      <c r="P17" s="945"/>
      <c r="Q17" s="945"/>
      <c r="R17" s="945"/>
      <c r="S17" s="946"/>
      <c r="T17" s="944"/>
      <c r="U17" s="945"/>
      <c r="V17" s="946"/>
      <c r="W17" s="946"/>
    </row>
    <row r="18" spans="1:23" s="168" customFormat="1" ht="12" customHeight="1" thickBot="1">
      <c r="A18" s="159" t="s">
        <v>30</v>
      </c>
      <c r="B18" s="165"/>
      <c r="C18" s="508" t="s">
        <v>120</v>
      </c>
      <c r="D18" s="478">
        <f aca="true" t="shared" si="2" ref="D18:I18">D19+D21</f>
        <v>0</v>
      </c>
      <c r="E18" s="228">
        <f t="shared" si="2"/>
        <v>0</v>
      </c>
      <c r="F18" s="228">
        <f t="shared" si="2"/>
        <v>0</v>
      </c>
      <c r="G18" s="228">
        <f t="shared" si="2"/>
        <v>457200</v>
      </c>
      <c r="H18" s="228">
        <f t="shared" si="2"/>
        <v>457200</v>
      </c>
      <c r="I18" s="228">
        <f t="shared" si="2"/>
        <v>457200</v>
      </c>
      <c r="J18" s="228">
        <f>J19+J21</f>
        <v>428040</v>
      </c>
      <c r="K18" s="406">
        <f>J18/I18</f>
        <v>0.9362204724409449</v>
      </c>
      <c r="L18" s="478">
        <f aca="true" t="shared" si="3" ref="L18:R18">L19+L21</f>
        <v>0</v>
      </c>
      <c r="M18" s="228">
        <f t="shared" si="3"/>
        <v>0</v>
      </c>
      <c r="N18" s="228">
        <f t="shared" si="3"/>
        <v>0</v>
      </c>
      <c r="O18" s="228">
        <f t="shared" si="3"/>
        <v>457200</v>
      </c>
      <c r="P18" s="228">
        <f t="shared" si="3"/>
        <v>457200</v>
      </c>
      <c r="Q18" s="228">
        <f t="shared" si="3"/>
        <v>457200</v>
      </c>
      <c r="R18" s="228">
        <f t="shared" si="3"/>
        <v>428040</v>
      </c>
      <c r="S18" s="406">
        <f>R18/Q18</f>
        <v>0.9362204724409449</v>
      </c>
      <c r="T18" s="478"/>
      <c r="U18" s="228"/>
      <c r="V18" s="167"/>
      <c r="W18" s="167"/>
    </row>
    <row r="19" spans="1:23" s="174" customFormat="1" ht="12" customHeight="1">
      <c r="A19" s="171"/>
      <c r="B19" s="170" t="s">
        <v>41</v>
      </c>
      <c r="C19" s="490" t="s">
        <v>76</v>
      </c>
      <c r="D19" s="480"/>
      <c r="E19" s="229"/>
      <c r="F19" s="229"/>
      <c r="G19" s="229">
        <v>457200</v>
      </c>
      <c r="H19" s="229">
        <v>457200</v>
      </c>
      <c r="I19" s="229">
        <v>457200</v>
      </c>
      <c r="J19" s="229">
        <v>428040</v>
      </c>
      <c r="K19" s="783">
        <f>J19/I19</f>
        <v>0.9362204724409449</v>
      </c>
      <c r="L19" s="480"/>
      <c r="M19" s="229"/>
      <c r="N19" s="229"/>
      <c r="O19" s="229">
        <v>457200</v>
      </c>
      <c r="P19" s="229">
        <v>457200</v>
      </c>
      <c r="Q19" s="229">
        <v>457200</v>
      </c>
      <c r="R19" s="229">
        <v>428040</v>
      </c>
      <c r="S19" s="783">
        <f>R19/Q19</f>
        <v>0.9362204724409449</v>
      </c>
      <c r="T19" s="480"/>
      <c r="U19" s="229"/>
      <c r="V19" s="173"/>
      <c r="W19" s="173"/>
    </row>
    <row r="20" spans="1:23" s="174" customFormat="1" ht="12" customHeight="1">
      <c r="A20" s="171"/>
      <c r="B20" s="170" t="s">
        <v>42</v>
      </c>
      <c r="C20" s="491" t="s">
        <v>123</v>
      </c>
      <c r="D20" s="480"/>
      <c r="E20" s="229"/>
      <c r="F20" s="229"/>
      <c r="G20" s="229"/>
      <c r="H20" s="229"/>
      <c r="I20" s="229"/>
      <c r="J20" s="229"/>
      <c r="K20" s="173"/>
      <c r="L20" s="480"/>
      <c r="M20" s="229"/>
      <c r="N20" s="229"/>
      <c r="O20" s="229"/>
      <c r="P20" s="229"/>
      <c r="Q20" s="229"/>
      <c r="R20" s="229"/>
      <c r="S20" s="173"/>
      <c r="T20" s="480"/>
      <c r="U20" s="229"/>
      <c r="V20" s="173"/>
      <c r="W20" s="173"/>
    </row>
    <row r="21" spans="1:23" s="174" customFormat="1" ht="12" customHeight="1">
      <c r="A21" s="171"/>
      <c r="B21" s="170" t="s">
        <v>43</v>
      </c>
      <c r="C21" s="491" t="s">
        <v>77</v>
      </c>
      <c r="D21" s="480"/>
      <c r="E21" s="229"/>
      <c r="F21" s="229"/>
      <c r="G21" s="229"/>
      <c r="H21" s="229"/>
      <c r="I21" s="229"/>
      <c r="J21" s="229"/>
      <c r="K21" s="173"/>
      <c r="L21" s="480"/>
      <c r="M21" s="229"/>
      <c r="N21" s="229"/>
      <c r="O21" s="229"/>
      <c r="P21" s="229"/>
      <c r="Q21" s="229"/>
      <c r="R21" s="229"/>
      <c r="S21" s="173"/>
      <c r="T21" s="480"/>
      <c r="U21" s="229"/>
      <c r="V21" s="173"/>
      <c r="W21" s="173"/>
    </row>
    <row r="22" spans="1:23" s="174" customFormat="1" ht="12" customHeight="1" thickBot="1">
      <c r="A22" s="171"/>
      <c r="B22" s="170" t="s">
        <v>285</v>
      </c>
      <c r="C22" s="491" t="s">
        <v>123</v>
      </c>
      <c r="D22" s="480"/>
      <c r="E22" s="229"/>
      <c r="F22" s="229"/>
      <c r="G22" s="229"/>
      <c r="H22" s="229"/>
      <c r="I22" s="229"/>
      <c r="J22" s="229"/>
      <c r="K22" s="173"/>
      <c r="L22" s="480"/>
      <c r="M22" s="229"/>
      <c r="N22" s="229"/>
      <c r="O22" s="229"/>
      <c r="P22" s="229"/>
      <c r="Q22" s="229"/>
      <c r="R22" s="229"/>
      <c r="S22" s="173"/>
      <c r="T22" s="480"/>
      <c r="U22" s="229"/>
      <c r="V22" s="173"/>
      <c r="W22" s="173"/>
    </row>
    <row r="23" spans="1:23" s="174" customFormat="1" ht="12" customHeight="1" thickBot="1">
      <c r="A23" s="177" t="s">
        <v>10</v>
      </c>
      <c r="B23" s="178"/>
      <c r="C23" s="489" t="s">
        <v>126</v>
      </c>
      <c r="D23" s="478">
        <f aca="true" t="shared" si="4" ref="D23:I23">SUM(D24:D25)</f>
        <v>0</v>
      </c>
      <c r="E23" s="228">
        <f t="shared" si="4"/>
        <v>0</v>
      </c>
      <c r="F23" s="228">
        <f t="shared" si="4"/>
        <v>0</v>
      </c>
      <c r="G23" s="228">
        <f t="shared" si="4"/>
        <v>0</v>
      </c>
      <c r="H23" s="228">
        <f t="shared" si="4"/>
        <v>0</v>
      </c>
      <c r="I23" s="228">
        <f t="shared" si="4"/>
        <v>0</v>
      </c>
      <c r="J23" s="228">
        <f>SUM(J24:J25)</f>
        <v>0</v>
      </c>
      <c r="K23" s="167">
        <f aca="true" t="shared" si="5" ref="K23:R23">SUM(K24:K25)</f>
        <v>0</v>
      </c>
      <c r="L23" s="478">
        <f t="shared" si="5"/>
        <v>0</v>
      </c>
      <c r="M23" s="228">
        <f t="shared" si="5"/>
        <v>0</v>
      </c>
      <c r="N23" s="228">
        <f t="shared" si="5"/>
        <v>0</v>
      </c>
      <c r="O23" s="228">
        <f t="shared" si="5"/>
        <v>0</v>
      </c>
      <c r="P23" s="228">
        <f t="shared" si="5"/>
        <v>0</v>
      </c>
      <c r="Q23" s="228">
        <f t="shared" si="5"/>
        <v>0</v>
      </c>
      <c r="R23" s="228">
        <f t="shared" si="5"/>
        <v>0</v>
      </c>
      <c r="S23" s="167">
        <f>SUM(S24:S25)</f>
        <v>0</v>
      </c>
      <c r="T23" s="478"/>
      <c r="U23" s="228"/>
      <c r="V23" s="167"/>
      <c r="W23" s="167"/>
    </row>
    <row r="24" spans="1:23" s="168" customFormat="1" ht="12" customHeight="1">
      <c r="A24" s="179"/>
      <c r="B24" s="180" t="s">
        <v>44</v>
      </c>
      <c r="C24" s="509" t="s">
        <v>128</v>
      </c>
      <c r="D24" s="481"/>
      <c r="E24" s="230"/>
      <c r="F24" s="230"/>
      <c r="G24" s="230"/>
      <c r="H24" s="230"/>
      <c r="I24" s="230"/>
      <c r="J24" s="230"/>
      <c r="K24" s="182"/>
      <c r="L24" s="481"/>
      <c r="M24" s="230"/>
      <c r="N24" s="230"/>
      <c r="O24" s="230"/>
      <c r="P24" s="230"/>
      <c r="Q24" s="230"/>
      <c r="R24" s="230"/>
      <c r="S24" s="182"/>
      <c r="T24" s="481"/>
      <c r="U24" s="230"/>
      <c r="V24" s="182"/>
      <c r="W24" s="182"/>
    </row>
    <row r="25" spans="1:23" s="168" customFormat="1" ht="12" customHeight="1" thickBot="1">
      <c r="A25" s="183"/>
      <c r="B25" s="184" t="s">
        <v>45</v>
      </c>
      <c r="C25" s="510" t="s">
        <v>130</v>
      </c>
      <c r="D25" s="482"/>
      <c r="E25" s="231"/>
      <c r="F25" s="231"/>
      <c r="G25" s="231"/>
      <c r="H25" s="231"/>
      <c r="I25" s="231"/>
      <c r="J25" s="231"/>
      <c r="K25" s="186"/>
      <c r="L25" s="482"/>
      <c r="M25" s="231"/>
      <c r="N25" s="231"/>
      <c r="O25" s="231"/>
      <c r="P25" s="231"/>
      <c r="Q25" s="231"/>
      <c r="R25" s="231"/>
      <c r="S25" s="186"/>
      <c r="T25" s="482"/>
      <c r="U25" s="231"/>
      <c r="V25" s="186"/>
      <c r="W25" s="186"/>
    </row>
    <row r="26" spans="1:23" s="168" customFormat="1" ht="12" customHeight="1" thickBot="1">
      <c r="A26" s="177"/>
      <c r="B26" s="165"/>
      <c r="D26" s="483"/>
      <c r="E26" s="232"/>
      <c r="F26" s="232"/>
      <c r="G26" s="232"/>
      <c r="H26" s="232"/>
      <c r="I26" s="232"/>
      <c r="J26" s="232"/>
      <c r="K26" s="187"/>
      <c r="L26" s="483"/>
      <c r="M26" s="232"/>
      <c r="N26" s="232"/>
      <c r="O26" s="232"/>
      <c r="P26" s="232"/>
      <c r="Q26" s="232"/>
      <c r="R26" s="232"/>
      <c r="S26" s="187"/>
      <c r="T26" s="483"/>
      <c r="U26" s="232"/>
      <c r="V26" s="187"/>
      <c r="W26" s="187"/>
    </row>
    <row r="27" spans="1:23" s="168" customFormat="1" ht="12" customHeight="1" thickBot="1">
      <c r="A27" s="159" t="s">
        <v>11</v>
      </c>
      <c r="B27" s="188"/>
      <c r="C27" s="489" t="s">
        <v>286</v>
      </c>
      <c r="D27" s="478">
        <f aca="true" t="shared" si="6" ref="D27:I27">D9+D18+D23+D26</f>
        <v>32771000</v>
      </c>
      <c r="E27" s="228">
        <f t="shared" si="6"/>
        <v>32771000</v>
      </c>
      <c r="F27" s="228">
        <f t="shared" si="6"/>
        <v>33488843</v>
      </c>
      <c r="G27" s="228">
        <f t="shared" si="6"/>
        <v>33949117</v>
      </c>
      <c r="H27" s="228">
        <f t="shared" si="6"/>
        <v>33949117</v>
      </c>
      <c r="I27" s="228">
        <f t="shared" si="6"/>
        <v>40702014</v>
      </c>
      <c r="J27" s="228">
        <f>J9+J18+J23+J26</f>
        <v>40568466</v>
      </c>
      <c r="K27" s="406">
        <f>J27/I27</f>
        <v>0.9967188847215276</v>
      </c>
      <c r="L27" s="478">
        <f aca="true" t="shared" si="7" ref="L27:R27">L9+L18+L23+L26</f>
        <v>32771000</v>
      </c>
      <c r="M27" s="228">
        <f t="shared" si="7"/>
        <v>32771000</v>
      </c>
      <c r="N27" s="228">
        <f t="shared" si="7"/>
        <v>33488843</v>
      </c>
      <c r="O27" s="228">
        <f t="shared" si="7"/>
        <v>33949117</v>
      </c>
      <c r="P27" s="228">
        <f t="shared" si="7"/>
        <v>33949117</v>
      </c>
      <c r="Q27" s="228">
        <f t="shared" si="7"/>
        <v>40702014</v>
      </c>
      <c r="R27" s="228">
        <f t="shared" si="7"/>
        <v>40568466</v>
      </c>
      <c r="S27" s="406">
        <f>R27/Q27</f>
        <v>0.9967188847215276</v>
      </c>
      <c r="T27" s="478"/>
      <c r="U27" s="228"/>
      <c r="V27" s="167"/>
      <c r="W27" s="167"/>
    </row>
    <row r="28" spans="1:23" s="174" customFormat="1" ht="12" customHeight="1" thickBot="1">
      <c r="A28" s="189" t="s">
        <v>12</v>
      </c>
      <c r="B28" s="190"/>
      <c r="C28" s="511" t="s">
        <v>287</v>
      </c>
      <c r="D28" s="484">
        <f aca="true" t="shared" si="8" ref="D28:I28">SUM(D29:D31)</f>
        <v>91740000</v>
      </c>
      <c r="E28" s="233">
        <f t="shared" si="8"/>
        <v>91740000</v>
      </c>
      <c r="F28" s="233">
        <f t="shared" si="8"/>
        <v>91739207</v>
      </c>
      <c r="G28" s="233">
        <f t="shared" si="8"/>
        <v>91873145</v>
      </c>
      <c r="H28" s="233">
        <f t="shared" si="8"/>
        <v>92969078</v>
      </c>
      <c r="I28" s="233">
        <f t="shared" si="8"/>
        <v>87455834</v>
      </c>
      <c r="J28" s="233">
        <f>SUM(J29:J31)</f>
        <v>87455834</v>
      </c>
      <c r="K28" s="406">
        <f>J28/I28</f>
        <v>1</v>
      </c>
      <c r="L28" s="484">
        <f aca="true" t="shared" si="9" ref="L28:R28">SUM(L29:L31)</f>
        <v>91740000</v>
      </c>
      <c r="M28" s="233">
        <f t="shared" si="9"/>
        <v>91740000</v>
      </c>
      <c r="N28" s="233">
        <f t="shared" si="9"/>
        <v>91739207</v>
      </c>
      <c r="O28" s="233">
        <f t="shared" si="9"/>
        <v>91873145</v>
      </c>
      <c r="P28" s="233">
        <f t="shared" si="9"/>
        <v>92969078</v>
      </c>
      <c r="Q28" s="233">
        <f t="shared" si="9"/>
        <v>87455834</v>
      </c>
      <c r="R28" s="233">
        <f t="shared" si="9"/>
        <v>87455834</v>
      </c>
      <c r="S28" s="406">
        <f>R28/Q28</f>
        <v>1</v>
      </c>
      <c r="T28" s="478"/>
      <c r="U28" s="228"/>
      <c r="V28" s="167"/>
      <c r="W28" s="167"/>
    </row>
    <row r="29" spans="1:23" s="174" customFormat="1" ht="15" customHeight="1" thickBot="1">
      <c r="A29" s="169"/>
      <c r="B29" s="192" t="s">
        <v>46</v>
      </c>
      <c r="C29" s="509" t="s">
        <v>135</v>
      </c>
      <c r="D29" s="481">
        <v>817181</v>
      </c>
      <c r="E29" s="230">
        <v>817181</v>
      </c>
      <c r="F29" s="230">
        <f>817181-793</f>
        <v>816388</v>
      </c>
      <c r="G29" s="230">
        <f>817181-793</f>
        <v>816388</v>
      </c>
      <c r="H29" s="230">
        <f>817181-793</f>
        <v>816388</v>
      </c>
      <c r="I29" s="230">
        <f>817181-793</f>
        <v>816388</v>
      </c>
      <c r="J29" s="230">
        <f>817181-793</f>
        <v>816388</v>
      </c>
      <c r="K29" s="783">
        <f>J29/I29</f>
        <v>1</v>
      </c>
      <c r="L29" s="481">
        <v>817181</v>
      </c>
      <c r="M29" s="230">
        <v>817181</v>
      </c>
      <c r="N29" s="230">
        <f>817181-793</f>
        <v>816388</v>
      </c>
      <c r="O29" s="230">
        <f>817181-793</f>
        <v>816388</v>
      </c>
      <c r="P29" s="230">
        <f>817181-793</f>
        <v>816388</v>
      </c>
      <c r="Q29" s="230">
        <f>817181-793</f>
        <v>816388</v>
      </c>
      <c r="R29" s="230">
        <f>817181-793</f>
        <v>816388</v>
      </c>
      <c r="S29" s="783">
        <f>R29/Q29</f>
        <v>1</v>
      </c>
      <c r="T29" s="487"/>
      <c r="U29" s="488"/>
      <c r="V29" s="289"/>
      <c r="W29" s="289"/>
    </row>
    <row r="30" spans="1:23" s="174" customFormat="1" ht="15" customHeight="1">
      <c r="A30" s="623"/>
      <c r="B30" s="624" t="s">
        <v>47</v>
      </c>
      <c r="C30" s="509" t="s">
        <v>502</v>
      </c>
      <c r="D30" s="625">
        <v>90922819</v>
      </c>
      <c r="E30" s="626">
        <v>90922819</v>
      </c>
      <c r="F30" s="626">
        <v>90922819</v>
      </c>
      <c r="G30" s="626">
        <f>90922819+133938</f>
        <v>91056757</v>
      </c>
      <c r="H30" s="626">
        <f>90922819+133938+1095933</f>
        <v>92152690</v>
      </c>
      <c r="I30" s="626">
        <v>86639446</v>
      </c>
      <c r="J30" s="626">
        <v>86639446</v>
      </c>
      <c r="K30" s="783">
        <f>J30/I30</f>
        <v>1</v>
      </c>
      <c r="L30" s="625">
        <v>90922819</v>
      </c>
      <c r="M30" s="626">
        <v>90922819</v>
      </c>
      <c r="N30" s="626">
        <v>90922819</v>
      </c>
      <c r="O30" s="626">
        <f>90922819+133938</f>
        <v>91056757</v>
      </c>
      <c r="P30" s="626">
        <f>90922819+133938+1095933</f>
        <v>92152690</v>
      </c>
      <c r="Q30" s="626">
        <v>86639446</v>
      </c>
      <c r="R30" s="626">
        <v>86639446</v>
      </c>
      <c r="S30" s="783">
        <f>R30/Q30</f>
        <v>1</v>
      </c>
      <c r="T30" s="627"/>
      <c r="U30" s="628"/>
      <c r="V30" s="629"/>
      <c r="W30" s="629"/>
    </row>
    <row r="31" spans="1:23" s="174" customFormat="1" ht="15" customHeight="1" thickBot="1">
      <c r="A31" s="193"/>
      <c r="B31" s="194" t="s">
        <v>75</v>
      </c>
      <c r="C31" s="512" t="s">
        <v>137</v>
      </c>
      <c r="D31" s="485"/>
      <c r="E31" s="234"/>
      <c r="F31" s="234"/>
      <c r="G31" s="234"/>
      <c r="H31" s="234"/>
      <c r="I31" s="234"/>
      <c r="J31" s="234"/>
      <c r="K31" s="196"/>
      <c r="L31" s="485"/>
      <c r="M31" s="234"/>
      <c r="N31" s="234"/>
      <c r="O31" s="234"/>
      <c r="P31" s="234"/>
      <c r="Q31" s="234"/>
      <c r="R31" s="234"/>
      <c r="S31" s="196"/>
      <c r="T31" s="485"/>
      <c r="U31" s="234"/>
      <c r="V31" s="196"/>
      <c r="W31" s="196"/>
    </row>
    <row r="32" spans="1:23" ht="13.5" thickBot="1">
      <c r="A32" s="197" t="s">
        <v>13</v>
      </c>
      <c r="B32" s="329"/>
      <c r="C32" s="493" t="s">
        <v>138</v>
      </c>
      <c r="D32" s="483"/>
      <c r="E32" s="232"/>
      <c r="F32" s="232"/>
      <c r="G32" s="232"/>
      <c r="H32" s="232"/>
      <c r="I32" s="232"/>
      <c r="J32" s="232"/>
      <c r="K32" s="187"/>
      <c r="L32" s="483"/>
      <c r="M32" s="232"/>
      <c r="N32" s="232"/>
      <c r="O32" s="232"/>
      <c r="P32" s="232"/>
      <c r="Q32" s="232"/>
      <c r="R32" s="232"/>
      <c r="S32" s="187"/>
      <c r="T32" s="483"/>
      <c r="U32" s="232"/>
      <c r="V32" s="187"/>
      <c r="W32" s="187"/>
    </row>
    <row r="33" spans="1:23" s="162" customFormat="1" ht="16.5" customHeight="1" thickBot="1">
      <c r="A33" s="197">
        <v>7</v>
      </c>
      <c r="B33" s="330"/>
      <c r="C33" s="513" t="s">
        <v>289</v>
      </c>
      <c r="D33" s="486">
        <f aca="true" t="shared" si="10" ref="D33:I33">D27+D32+D28</f>
        <v>124511000</v>
      </c>
      <c r="E33" s="235">
        <f t="shared" si="10"/>
        <v>124511000</v>
      </c>
      <c r="F33" s="235">
        <f t="shared" si="10"/>
        <v>125228050</v>
      </c>
      <c r="G33" s="235">
        <f t="shared" si="10"/>
        <v>125822262</v>
      </c>
      <c r="H33" s="235">
        <f t="shared" si="10"/>
        <v>126918195</v>
      </c>
      <c r="I33" s="235">
        <f t="shared" si="10"/>
        <v>128157848</v>
      </c>
      <c r="J33" s="235">
        <f>J27+J32+J28</f>
        <v>128024300</v>
      </c>
      <c r="K33" s="406">
        <f>J33/I33</f>
        <v>0.9989579413037585</v>
      </c>
      <c r="L33" s="486">
        <f aca="true" t="shared" si="11" ref="L33:R33">L27+L32+L28</f>
        <v>124511000</v>
      </c>
      <c r="M33" s="235">
        <f t="shared" si="11"/>
        <v>124511000</v>
      </c>
      <c r="N33" s="235">
        <f t="shared" si="11"/>
        <v>125228050</v>
      </c>
      <c r="O33" s="235">
        <f t="shared" si="11"/>
        <v>125822262</v>
      </c>
      <c r="P33" s="235">
        <f t="shared" si="11"/>
        <v>126918195</v>
      </c>
      <c r="Q33" s="235">
        <f t="shared" si="11"/>
        <v>128157848</v>
      </c>
      <c r="R33" s="235">
        <f t="shared" si="11"/>
        <v>128024300</v>
      </c>
      <c r="S33" s="406">
        <f>R33/Q33</f>
        <v>0.9989579413037585</v>
      </c>
      <c r="T33" s="486"/>
      <c r="U33" s="235"/>
      <c r="V33" s="220"/>
      <c r="W33" s="220"/>
    </row>
    <row r="34" spans="1:23" s="206" customFormat="1" ht="12" customHeight="1">
      <c r="A34" s="203"/>
      <c r="B34" s="203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</row>
    <row r="35" spans="1:23" ht="12" customHeight="1" thickBot="1">
      <c r="A35" s="207"/>
      <c r="B35" s="208"/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</row>
    <row r="36" spans="1:23" ht="12" customHeight="1" thickBot="1">
      <c r="A36" s="210"/>
      <c r="B36" s="211"/>
      <c r="C36" s="212" t="s">
        <v>140</v>
      </c>
      <c r="D36" s="486"/>
      <c r="E36" s="235"/>
      <c r="F36" s="235"/>
      <c r="G36" s="235"/>
      <c r="H36" s="235"/>
      <c r="I36" s="235"/>
      <c r="J36" s="235"/>
      <c r="K36" s="220"/>
      <c r="L36" s="486"/>
      <c r="M36" s="235"/>
      <c r="N36" s="235"/>
      <c r="O36" s="235"/>
      <c r="P36" s="235"/>
      <c r="Q36" s="235"/>
      <c r="R36" s="235"/>
      <c r="S36" s="220"/>
      <c r="T36" s="486"/>
      <c r="U36" s="235"/>
      <c r="V36" s="220"/>
      <c r="W36" s="220"/>
    </row>
    <row r="37" spans="1:23" ht="12" customHeight="1" thickBot="1">
      <c r="A37" s="177" t="s">
        <v>29</v>
      </c>
      <c r="B37" s="213"/>
      <c r="C37" s="489" t="s">
        <v>141</v>
      </c>
      <c r="D37" s="478">
        <f aca="true" t="shared" si="12" ref="D37:I37">SUM(D38:D42)</f>
        <v>123044000</v>
      </c>
      <c r="E37" s="228">
        <f t="shared" si="12"/>
        <v>123044000</v>
      </c>
      <c r="F37" s="228">
        <f>SUM(F38:F42)</f>
        <v>123761050</v>
      </c>
      <c r="G37" s="228">
        <f>SUM(G38:G42)</f>
        <v>124315262</v>
      </c>
      <c r="H37" s="228">
        <f>SUM(H38:H42)</f>
        <v>125411195</v>
      </c>
      <c r="I37" s="228">
        <f t="shared" si="12"/>
        <v>126845050</v>
      </c>
      <c r="J37" s="228">
        <f>SUM(J38:J42)</f>
        <v>124946419</v>
      </c>
      <c r="K37" s="406">
        <f>J37/I37</f>
        <v>0.9850318873302506</v>
      </c>
      <c r="L37" s="478">
        <f aca="true" t="shared" si="13" ref="L37:R37">SUM(L38:L42)</f>
        <v>123044000</v>
      </c>
      <c r="M37" s="228">
        <f t="shared" si="13"/>
        <v>123044000</v>
      </c>
      <c r="N37" s="228">
        <f t="shared" si="13"/>
        <v>123761050</v>
      </c>
      <c r="O37" s="228">
        <f t="shared" si="13"/>
        <v>124315262</v>
      </c>
      <c r="P37" s="228">
        <f t="shared" si="13"/>
        <v>125411195</v>
      </c>
      <c r="Q37" s="228">
        <f t="shared" si="13"/>
        <v>126845050</v>
      </c>
      <c r="R37" s="228">
        <f t="shared" si="13"/>
        <v>124946419</v>
      </c>
      <c r="S37" s="406">
        <f>R37/Q37</f>
        <v>0.9850318873302506</v>
      </c>
      <c r="T37" s="478"/>
      <c r="U37" s="228"/>
      <c r="V37" s="167"/>
      <c r="W37" s="167"/>
    </row>
    <row r="38" spans="1:23" ht="12" customHeight="1">
      <c r="A38" s="214"/>
      <c r="B38" s="215" t="s">
        <v>115</v>
      </c>
      <c r="C38" s="490" t="s">
        <v>142</v>
      </c>
      <c r="D38" s="496">
        <v>60521000</v>
      </c>
      <c r="E38" s="236">
        <v>60521000</v>
      </c>
      <c r="F38" s="236">
        <v>60521000</v>
      </c>
      <c r="G38" s="236">
        <f>60521000-150000</f>
        <v>60371000</v>
      </c>
      <c r="H38" s="236">
        <f>60521000-150000</f>
        <v>60371000</v>
      </c>
      <c r="I38" s="236">
        <v>59155401</v>
      </c>
      <c r="J38" s="236">
        <v>58852768</v>
      </c>
      <c r="K38" s="752">
        <f>J38/I38</f>
        <v>0.9948841019605293</v>
      </c>
      <c r="L38" s="496">
        <v>60521000</v>
      </c>
      <c r="M38" s="236">
        <v>60521000</v>
      </c>
      <c r="N38" s="236">
        <v>60521000</v>
      </c>
      <c r="O38" s="236">
        <f>60521000-150000</f>
        <v>60371000</v>
      </c>
      <c r="P38" s="236">
        <f>60521000-150000</f>
        <v>60371000</v>
      </c>
      <c r="Q38" s="236">
        <v>59155401</v>
      </c>
      <c r="R38" s="236">
        <v>58852768</v>
      </c>
      <c r="S38" s="752">
        <f>R38/Q38</f>
        <v>0.9948841019605293</v>
      </c>
      <c r="T38" s="480"/>
      <c r="U38" s="229"/>
      <c r="V38" s="173"/>
      <c r="W38" s="173"/>
    </row>
    <row r="39" spans="1:23" ht="12" customHeight="1">
      <c r="A39" s="216"/>
      <c r="B39" s="217" t="s">
        <v>116</v>
      </c>
      <c r="C39" s="491" t="s">
        <v>53</v>
      </c>
      <c r="D39" s="497">
        <v>16449000</v>
      </c>
      <c r="E39" s="237">
        <v>16449000</v>
      </c>
      <c r="F39" s="237">
        <v>16449000</v>
      </c>
      <c r="G39" s="237">
        <f>16449000-22255</f>
        <v>16426745</v>
      </c>
      <c r="H39" s="237">
        <f>16449000-22255</f>
        <v>16426745</v>
      </c>
      <c r="I39" s="237">
        <v>16164211</v>
      </c>
      <c r="J39" s="237">
        <v>16070357</v>
      </c>
      <c r="K39" s="783">
        <f>J39/I39</f>
        <v>0.9941937159815595</v>
      </c>
      <c r="L39" s="497">
        <v>16449000</v>
      </c>
      <c r="M39" s="237">
        <v>16449000</v>
      </c>
      <c r="N39" s="237">
        <v>16449000</v>
      </c>
      <c r="O39" s="237">
        <f>16449000-22255</f>
        <v>16426745</v>
      </c>
      <c r="P39" s="237">
        <f>16449000-22255</f>
        <v>16426745</v>
      </c>
      <c r="Q39" s="237">
        <v>16164211</v>
      </c>
      <c r="R39" s="237">
        <v>16070357</v>
      </c>
      <c r="S39" s="783">
        <f>R39/Q39</f>
        <v>0.9941937159815595</v>
      </c>
      <c r="T39" s="480"/>
      <c r="U39" s="229"/>
      <c r="V39" s="173"/>
      <c r="W39" s="173"/>
    </row>
    <row r="40" spans="1:23" ht="12" customHeight="1">
      <c r="A40" s="216"/>
      <c r="B40" s="217" t="s">
        <v>117</v>
      </c>
      <c r="C40" s="491" t="s">
        <v>143</v>
      </c>
      <c r="D40" s="497">
        <v>46074000</v>
      </c>
      <c r="E40" s="237">
        <v>46074000</v>
      </c>
      <c r="F40" s="237">
        <f>46074000+717050</f>
        <v>46791050</v>
      </c>
      <c r="G40" s="237">
        <f>46074000+717050+93938+632529</f>
        <v>47517517</v>
      </c>
      <c r="H40" s="237">
        <f>46074000+717050+93938+632529+1095933</f>
        <v>48613450</v>
      </c>
      <c r="I40" s="237">
        <v>51525438</v>
      </c>
      <c r="J40" s="237">
        <v>50023294</v>
      </c>
      <c r="K40" s="783">
        <f>J40/I40</f>
        <v>0.970846555443158</v>
      </c>
      <c r="L40" s="497">
        <v>46074000</v>
      </c>
      <c r="M40" s="237">
        <v>46074000</v>
      </c>
      <c r="N40" s="237">
        <f>46074000+717050</f>
        <v>46791050</v>
      </c>
      <c r="O40" s="237">
        <f>46074000+717050+93938+632529</f>
        <v>47517517</v>
      </c>
      <c r="P40" s="237">
        <f>46074000+717050+93938+632529+1095933</f>
        <v>48613450</v>
      </c>
      <c r="Q40" s="237">
        <v>51525438</v>
      </c>
      <c r="R40" s="237">
        <v>50023294</v>
      </c>
      <c r="S40" s="783">
        <f>R40/Q40</f>
        <v>0.970846555443158</v>
      </c>
      <c r="T40" s="480"/>
      <c r="U40" s="229"/>
      <c r="V40" s="173"/>
      <c r="W40" s="173"/>
    </row>
    <row r="41" spans="1:23" s="206" customFormat="1" ht="12" customHeight="1">
      <c r="A41" s="216"/>
      <c r="B41" s="217" t="s">
        <v>118</v>
      </c>
      <c r="C41" s="491" t="s">
        <v>85</v>
      </c>
      <c r="D41" s="497"/>
      <c r="E41" s="237"/>
      <c r="F41" s="237"/>
      <c r="G41" s="237"/>
      <c r="H41" s="237"/>
      <c r="I41" s="237"/>
      <c r="J41" s="237"/>
      <c r="K41" s="218"/>
      <c r="L41" s="497"/>
      <c r="M41" s="237"/>
      <c r="N41" s="237"/>
      <c r="O41" s="237"/>
      <c r="P41" s="237"/>
      <c r="Q41" s="237"/>
      <c r="R41" s="237"/>
      <c r="S41" s="218"/>
      <c r="T41" s="480"/>
      <c r="U41" s="229"/>
      <c r="V41" s="173"/>
      <c r="W41" s="173"/>
    </row>
    <row r="42" spans="1:23" ht="12" customHeight="1" thickBot="1">
      <c r="A42" s="216"/>
      <c r="B42" s="217" t="s">
        <v>52</v>
      </c>
      <c r="C42" s="491" t="s">
        <v>87</v>
      </c>
      <c r="D42" s="497"/>
      <c r="E42" s="237"/>
      <c r="F42" s="237"/>
      <c r="G42" s="237"/>
      <c r="H42" s="237"/>
      <c r="I42" s="237"/>
      <c r="J42" s="237"/>
      <c r="K42" s="783"/>
      <c r="L42" s="497"/>
      <c r="M42" s="237"/>
      <c r="N42" s="237"/>
      <c r="O42" s="237"/>
      <c r="P42" s="237"/>
      <c r="Q42" s="237"/>
      <c r="R42" s="237"/>
      <c r="S42" s="783"/>
      <c r="T42" s="497"/>
      <c r="U42" s="237"/>
      <c r="V42" s="218"/>
      <c r="W42" s="218"/>
    </row>
    <row r="43" spans="1:23" ht="12" customHeight="1" thickBot="1">
      <c r="A43" s="177" t="s">
        <v>30</v>
      </c>
      <c r="B43" s="213"/>
      <c r="C43" s="489" t="s">
        <v>144</v>
      </c>
      <c r="D43" s="478">
        <f aca="true" t="shared" si="14" ref="D43:I43">SUM(D44:D48)</f>
        <v>1467000</v>
      </c>
      <c r="E43" s="228">
        <f t="shared" si="14"/>
        <v>1467000</v>
      </c>
      <c r="F43" s="228">
        <f t="shared" si="14"/>
        <v>1467000</v>
      </c>
      <c r="G43" s="228">
        <f t="shared" si="14"/>
        <v>1507000</v>
      </c>
      <c r="H43" s="228">
        <f t="shared" si="14"/>
        <v>1507000</v>
      </c>
      <c r="I43" s="228">
        <f t="shared" si="14"/>
        <v>1312798</v>
      </c>
      <c r="J43" s="228">
        <f>SUM(J44:J48)</f>
        <v>1312798</v>
      </c>
      <c r="K43" s="406">
        <f>J43/I43</f>
        <v>1</v>
      </c>
      <c r="L43" s="478">
        <f aca="true" t="shared" si="15" ref="L43:R43">SUM(L44:L48)</f>
        <v>1467000</v>
      </c>
      <c r="M43" s="228">
        <f t="shared" si="15"/>
        <v>1467000</v>
      </c>
      <c r="N43" s="228">
        <f t="shared" si="15"/>
        <v>1467000</v>
      </c>
      <c r="O43" s="228">
        <f t="shared" si="15"/>
        <v>1507000</v>
      </c>
      <c r="P43" s="228">
        <f t="shared" si="15"/>
        <v>1507000</v>
      </c>
      <c r="Q43" s="228">
        <f t="shared" si="15"/>
        <v>1312798</v>
      </c>
      <c r="R43" s="228">
        <f t="shared" si="15"/>
        <v>1312798</v>
      </c>
      <c r="S43" s="406">
        <f>R43/Q43</f>
        <v>1</v>
      </c>
      <c r="T43" s="478"/>
      <c r="U43" s="228"/>
      <c r="V43" s="167"/>
      <c r="W43" s="167"/>
    </row>
    <row r="44" spans="1:23" ht="12" customHeight="1">
      <c r="A44" s="214"/>
      <c r="B44" s="215" t="s">
        <v>145</v>
      </c>
      <c r="C44" s="490" t="s">
        <v>97</v>
      </c>
      <c r="D44" s="496">
        <v>1467000</v>
      </c>
      <c r="E44" s="236">
        <v>1467000</v>
      </c>
      <c r="F44" s="236">
        <v>1467000</v>
      </c>
      <c r="G44" s="236">
        <f>1467000+40000</f>
        <v>1507000</v>
      </c>
      <c r="H44" s="236">
        <f>1467000+40000</f>
        <v>1507000</v>
      </c>
      <c r="I44" s="236">
        <v>1312798</v>
      </c>
      <c r="J44" s="236">
        <v>1312798</v>
      </c>
      <c r="K44" s="752">
        <f>J44/I44</f>
        <v>1</v>
      </c>
      <c r="L44" s="496">
        <v>1467000</v>
      </c>
      <c r="M44" s="236">
        <v>1467000</v>
      </c>
      <c r="N44" s="236">
        <v>1467000</v>
      </c>
      <c r="O44" s="236">
        <f>1467000+40000</f>
        <v>1507000</v>
      </c>
      <c r="P44" s="236">
        <f>1467000+40000</f>
        <v>1507000</v>
      </c>
      <c r="Q44" s="236">
        <v>1312798</v>
      </c>
      <c r="R44" s="236">
        <v>1312798</v>
      </c>
      <c r="S44" s="752">
        <f>R44/Q44</f>
        <v>1</v>
      </c>
      <c r="T44" s="480"/>
      <c r="U44" s="229"/>
      <c r="V44" s="173"/>
      <c r="W44" s="173"/>
    </row>
    <row r="45" spans="1:23" ht="12" customHeight="1">
      <c r="A45" s="214"/>
      <c r="B45" s="215"/>
      <c r="C45" s="490" t="s">
        <v>364</v>
      </c>
      <c r="D45" s="496"/>
      <c r="E45" s="236"/>
      <c r="F45" s="236"/>
      <c r="G45" s="236"/>
      <c r="H45" s="236"/>
      <c r="I45" s="236"/>
      <c r="J45" s="236"/>
      <c r="K45" s="1004"/>
      <c r="L45" s="496"/>
      <c r="M45" s="236"/>
      <c r="N45" s="236"/>
      <c r="O45" s="236"/>
      <c r="P45" s="236"/>
      <c r="Q45" s="236"/>
      <c r="R45" s="236"/>
      <c r="S45" s="1004"/>
      <c r="T45" s="480"/>
      <c r="U45" s="229"/>
      <c r="V45" s="173"/>
      <c r="W45" s="173"/>
    </row>
    <row r="46" spans="1:23" ht="12" customHeight="1">
      <c r="A46" s="216"/>
      <c r="B46" s="217" t="s">
        <v>146</v>
      </c>
      <c r="C46" s="491" t="s">
        <v>98</v>
      </c>
      <c r="D46" s="497"/>
      <c r="E46" s="237"/>
      <c r="F46" s="237"/>
      <c r="G46" s="237"/>
      <c r="H46" s="237"/>
      <c r="I46" s="237"/>
      <c r="J46" s="237"/>
      <c r="K46" s="218"/>
      <c r="L46" s="497"/>
      <c r="M46" s="237"/>
      <c r="N46" s="237"/>
      <c r="O46" s="237"/>
      <c r="P46" s="237"/>
      <c r="Q46" s="237"/>
      <c r="R46" s="237"/>
      <c r="S46" s="218"/>
      <c r="T46" s="497"/>
      <c r="U46" s="237"/>
      <c r="V46" s="218"/>
      <c r="W46" s="218"/>
    </row>
    <row r="47" spans="1:23" ht="15" customHeight="1">
      <c r="A47" s="216"/>
      <c r="B47" s="217" t="s">
        <v>43</v>
      </c>
      <c r="C47" s="491" t="s">
        <v>148</v>
      </c>
      <c r="D47" s="497"/>
      <c r="E47" s="237"/>
      <c r="F47" s="237"/>
      <c r="G47" s="237"/>
      <c r="H47" s="237"/>
      <c r="I47" s="237"/>
      <c r="J47" s="237"/>
      <c r="K47" s="218"/>
      <c r="L47" s="497"/>
      <c r="M47" s="237"/>
      <c r="N47" s="237"/>
      <c r="O47" s="237"/>
      <c r="P47" s="237"/>
      <c r="Q47" s="237"/>
      <c r="R47" s="237"/>
      <c r="S47" s="218"/>
      <c r="T47" s="497"/>
      <c r="U47" s="237"/>
      <c r="V47" s="218"/>
      <c r="W47" s="218"/>
    </row>
    <row r="48" spans="1:23" ht="13.5" thickBot="1">
      <c r="A48" s="216"/>
      <c r="B48" s="217" t="s">
        <v>285</v>
      </c>
      <c r="C48" s="491" t="s">
        <v>150</v>
      </c>
      <c r="D48" s="497"/>
      <c r="E48" s="237"/>
      <c r="F48" s="237"/>
      <c r="G48" s="237"/>
      <c r="H48" s="237"/>
      <c r="I48" s="237"/>
      <c r="J48" s="237"/>
      <c r="K48" s="218"/>
      <c r="L48" s="497"/>
      <c r="M48" s="237"/>
      <c r="N48" s="237"/>
      <c r="O48" s="237"/>
      <c r="P48" s="237"/>
      <c r="Q48" s="237"/>
      <c r="R48" s="237"/>
      <c r="S48" s="218"/>
      <c r="T48" s="497"/>
      <c r="U48" s="237"/>
      <c r="V48" s="218"/>
      <c r="W48" s="218"/>
    </row>
    <row r="49" spans="1:23" ht="15" customHeight="1" thickBot="1">
      <c r="A49" s="177" t="s">
        <v>10</v>
      </c>
      <c r="B49" s="213"/>
      <c r="C49" s="492" t="s">
        <v>151</v>
      </c>
      <c r="D49" s="483"/>
      <c r="E49" s="232"/>
      <c r="F49" s="232"/>
      <c r="G49" s="232"/>
      <c r="H49" s="232"/>
      <c r="I49" s="232"/>
      <c r="J49" s="232"/>
      <c r="K49" s="187"/>
      <c r="L49" s="483"/>
      <c r="M49" s="232"/>
      <c r="N49" s="232"/>
      <c r="O49" s="232"/>
      <c r="P49" s="232"/>
      <c r="Q49" s="232"/>
      <c r="R49" s="232"/>
      <c r="S49" s="187"/>
      <c r="T49" s="483"/>
      <c r="U49" s="232"/>
      <c r="V49" s="187"/>
      <c r="W49" s="187"/>
    </row>
    <row r="50" spans="1:23" ht="14.25" customHeight="1" thickBot="1">
      <c r="A50" s="197" t="s">
        <v>11</v>
      </c>
      <c r="B50" s="329"/>
      <c r="C50" s="493" t="s">
        <v>152</v>
      </c>
      <c r="D50" s="483"/>
      <c r="E50" s="232"/>
      <c r="F50" s="232"/>
      <c r="G50" s="232"/>
      <c r="H50" s="232"/>
      <c r="I50" s="232"/>
      <c r="J50" s="232"/>
      <c r="K50" s="187"/>
      <c r="L50" s="483"/>
      <c r="M50" s="232"/>
      <c r="N50" s="232"/>
      <c r="O50" s="232"/>
      <c r="P50" s="232"/>
      <c r="Q50" s="232"/>
      <c r="R50" s="232"/>
      <c r="S50" s="187"/>
      <c r="T50" s="483"/>
      <c r="U50" s="232"/>
      <c r="V50" s="187"/>
      <c r="W50" s="187"/>
    </row>
    <row r="51" spans="1:23" ht="13.5" thickBot="1">
      <c r="A51" s="177">
        <v>5</v>
      </c>
      <c r="B51" s="219"/>
      <c r="C51" s="494" t="s">
        <v>290</v>
      </c>
      <c r="D51" s="486">
        <f aca="true" t="shared" si="16" ref="D51:I51">D37+D43+D49+D50</f>
        <v>124511000</v>
      </c>
      <c r="E51" s="235">
        <f t="shared" si="16"/>
        <v>124511000</v>
      </c>
      <c r="F51" s="235">
        <f>F37+F43+F49+F50</f>
        <v>125228050</v>
      </c>
      <c r="G51" s="235">
        <f>G37+G43+G49+G50</f>
        <v>125822262</v>
      </c>
      <c r="H51" s="235">
        <f>H37+H43+H49+H50</f>
        <v>126918195</v>
      </c>
      <c r="I51" s="235">
        <f t="shared" si="16"/>
        <v>128157848</v>
      </c>
      <c r="J51" s="235">
        <f>J37+J43+J49+J50</f>
        <v>126259217</v>
      </c>
      <c r="K51" s="406">
        <f>J51/I51</f>
        <v>0.9851852147205218</v>
      </c>
      <c r="L51" s="486">
        <f aca="true" t="shared" si="17" ref="L51:R51">L37+L43+L49+L50</f>
        <v>124511000</v>
      </c>
      <c r="M51" s="235">
        <f t="shared" si="17"/>
        <v>124511000</v>
      </c>
      <c r="N51" s="235">
        <f t="shared" si="17"/>
        <v>125228050</v>
      </c>
      <c r="O51" s="235">
        <f t="shared" si="17"/>
        <v>125822262</v>
      </c>
      <c r="P51" s="235">
        <f t="shared" si="17"/>
        <v>126918195</v>
      </c>
      <c r="Q51" s="235">
        <f t="shared" si="17"/>
        <v>128157848</v>
      </c>
      <c r="R51" s="235">
        <f t="shared" si="17"/>
        <v>126259217</v>
      </c>
      <c r="S51" s="406">
        <f>R51/Q51</f>
        <v>0.9851852147205218</v>
      </c>
      <c r="T51" s="486"/>
      <c r="U51" s="235"/>
      <c r="V51" s="220"/>
      <c r="W51" s="220"/>
    </row>
    <row r="52" spans="1:23" ht="13.5" thickBot="1">
      <c r="A52" s="331"/>
      <c r="B52" s="332"/>
      <c r="C52" s="332"/>
      <c r="D52" s="520"/>
      <c r="E52" s="521"/>
      <c r="F52" s="521"/>
      <c r="G52" s="521"/>
      <c r="H52" s="521"/>
      <c r="I52" s="521"/>
      <c r="J52" s="521"/>
      <c r="K52" s="522"/>
      <c r="L52" s="520"/>
      <c r="M52" s="521"/>
      <c r="N52" s="521"/>
      <c r="O52" s="521"/>
      <c r="P52" s="521"/>
      <c r="Q52" s="521"/>
      <c r="R52" s="521"/>
      <c r="S52" s="522"/>
      <c r="T52" s="520"/>
      <c r="U52" s="521"/>
      <c r="V52" s="522"/>
      <c r="W52" s="522"/>
    </row>
    <row r="53" spans="1:23" ht="13.5" thickBot="1">
      <c r="A53" s="223" t="s">
        <v>154</v>
      </c>
      <c r="B53" s="224"/>
      <c r="C53" s="495"/>
      <c r="D53" s="506">
        <v>23</v>
      </c>
      <c r="E53" s="240">
        <v>23</v>
      </c>
      <c r="F53" s="240">
        <v>23</v>
      </c>
      <c r="G53" s="240">
        <v>23</v>
      </c>
      <c r="H53" s="240">
        <v>23</v>
      </c>
      <c r="I53" s="240">
        <v>23</v>
      </c>
      <c r="J53" s="240">
        <v>23</v>
      </c>
      <c r="K53" s="406">
        <f>J53/I53</f>
        <v>1</v>
      </c>
      <c r="L53" s="506">
        <v>23</v>
      </c>
      <c r="M53" s="240">
        <v>23</v>
      </c>
      <c r="N53" s="240">
        <v>23</v>
      </c>
      <c r="O53" s="240">
        <v>23</v>
      </c>
      <c r="P53" s="240">
        <v>23</v>
      </c>
      <c r="Q53" s="240">
        <v>23</v>
      </c>
      <c r="R53" s="240">
        <v>23</v>
      </c>
      <c r="S53" s="406">
        <f>R53/Q53</f>
        <v>1</v>
      </c>
      <c r="T53" s="506"/>
      <c r="U53" s="240"/>
      <c r="V53" s="498"/>
      <c r="W53" s="498"/>
    </row>
    <row r="54" spans="1:23" ht="13.5" thickBot="1">
      <c r="A54" s="223" t="s">
        <v>155</v>
      </c>
      <c r="B54" s="224"/>
      <c r="C54" s="495"/>
      <c r="D54" s="506">
        <v>0</v>
      </c>
      <c r="E54" s="240">
        <v>0</v>
      </c>
      <c r="F54" s="240">
        <v>0</v>
      </c>
      <c r="G54" s="240">
        <v>0</v>
      </c>
      <c r="H54" s="240">
        <v>0</v>
      </c>
      <c r="I54" s="240">
        <v>0</v>
      </c>
      <c r="J54" s="240">
        <v>0</v>
      </c>
      <c r="K54" s="406"/>
      <c r="L54" s="506">
        <v>0</v>
      </c>
      <c r="M54" s="240">
        <v>0</v>
      </c>
      <c r="N54" s="240">
        <v>0</v>
      </c>
      <c r="O54" s="240">
        <v>0</v>
      </c>
      <c r="P54" s="240">
        <v>0</v>
      </c>
      <c r="Q54" s="240">
        <v>0</v>
      </c>
      <c r="R54" s="240">
        <v>0</v>
      </c>
      <c r="S54" s="406"/>
      <c r="T54" s="506"/>
      <c r="U54" s="240"/>
      <c r="V54" s="498"/>
      <c r="W54" s="498"/>
    </row>
    <row r="55" spans="6:11" ht="12.75">
      <c r="F55" s="335"/>
      <c r="G55" s="335"/>
      <c r="H55" s="335"/>
      <c r="I55" s="335"/>
      <c r="J55" s="335"/>
      <c r="K55" s="335"/>
    </row>
    <row r="56" spans="1:11" ht="12.75">
      <c r="A56" s="1379" t="s">
        <v>156</v>
      </c>
      <c r="B56" s="1379"/>
      <c r="C56" s="1379"/>
      <c r="D56" s="1379"/>
      <c r="E56" s="313"/>
      <c r="F56" s="313"/>
      <c r="G56" s="743"/>
      <c r="H56" s="743"/>
      <c r="I56" s="743"/>
      <c r="J56" s="313"/>
      <c r="K56" s="313"/>
    </row>
    <row r="57" spans="1:3" ht="12.75">
      <c r="A57" s="1379"/>
      <c r="B57" s="1379"/>
      <c r="C57" s="1379"/>
    </row>
    <row r="58" spans="4:11" ht="12.75">
      <c r="D58" s="335">
        <v>0</v>
      </c>
      <c r="E58" s="335"/>
      <c r="F58" s="335"/>
      <c r="G58" s="335"/>
      <c r="H58" s="335"/>
      <c r="I58" s="335"/>
      <c r="J58" s="335"/>
      <c r="K58" s="335"/>
    </row>
  </sheetData>
  <sheetProtection/>
  <mergeCells count="8">
    <mergeCell ref="A3:T3"/>
    <mergeCell ref="L1:T1"/>
    <mergeCell ref="A57:C57"/>
    <mergeCell ref="A56:D56"/>
    <mergeCell ref="A6:B6"/>
    <mergeCell ref="D5:K5"/>
    <mergeCell ref="L5:S5"/>
    <mergeCell ref="T5:W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70" zoomScaleNormal="70" workbookViewId="0" topLeftCell="A13">
      <selection activeCell="A16" sqref="A16:B16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5" customWidth="1"/>
    <col min="4" max="4" width="17.421875" style="77" customWidth="1"/>
    <col min="5" max="8" width="14.140625" style="77" hidden="1" customWidth="1"/>
    <col min="9" max="11" width="14.140625" style="77" customWidth="1"/>
    <col min="12" max="12" width="20.28125" style="32" customWidth="1"/>
    <col min="13" max="16" width="15.28125" style="32" hidden="1" customWidth="1"/>
    <col min="17" max="19" width="15.28125" style="32" customWidth="1"/>
    <col min="20" max="20" width="18.28125" style="32" customWidth="1"/>
    <col min="21" max="21" width="13.28125" style="32" hidden="1" customWidth="1"/>
    <col min="22" max="22" width="14.7109375" style="32" hidden="1" customWidth="1"/>
    <col min="23" max="23" width="12.140625" style="32" hidden="1" customWidth="1"/>
    <col min="24" max="24" width="14.8515625" style="32" hidden="1" customWidth="1"/>
    <col min="25" max="26" width="12.8515625" style="32" customWidth="1"/>
    <col min="27" max="27" width="21.7109375" style="32" customWidth="1"/>
    <col min="28" max="28" width="9.140625" style="32" customWidth="1"/>
    <col min="29" max="16384" width="9.140625" style="32" customWidth="1"/>
  </cols>
  <sheetData>
    <row r="1" spans="1:21" ht="15.75">
      <c r="A1" s="1398" t="s">
        <v>63</v>
      </c>
      <c r="B1" s="1398"/>
      <c r="C1" s="1398"/>
      <c r="D1" s="1398"/>
      <c r="E1" s="1398"/>
      <c r="F1" s="1398"/>
      <c r="G1" s="1398"/>
      <c r="H1" s="1398"/>
      <c r="I1" s="1398"/>
      <c r="J1" s="1398"/>
      <c r="K1" s="1398"/>
      <c r="L1" s="1398"/>
      <c r="M1" s="1398"/>
      <c r="N1" s="1398"/>
      <c r="O1" s="1398"/>
      <c r="P1" s="1398"/>
      <c r="Q1" s="1398"/>
      <c r="R1" s="1398"/>
      <c r="S1" s="1398"/>
      <c r="T1" s="1398"/>
      <c r="U1" s="61"/>
    </row>
    <row r="2" spans="1:21" ht="16.5" thickBot="1">
      <c r="A2" s="71"/>
      <c r="B2" s="61"/>
      <c r="C2" s="61"/>
      <c r="D2" s="72"/>
      <c r="E2" s="72"/>
      <c r="F2" s="72"/>
      <c r="G2" s="72"/>
      <c r="H2" s="72"/>
      <c r="I2" s="72"/>
      <c r="J2" s="72"/>
      <c r="K2" s="72"/>
      <c r="L2" s="61"/>
      <c r="M2" s="61"/>
      <c r="N2" s="61"/>
      <c r="O2" s="61"/>
      <c r="P2" s="61"/>
      <c r="Q2" s="61"/>
      <c r="R2" s="61"/>
      <c r="S2" s="61"/>
      <c r="T2" s="61" t="s">
        <v>505</v>
      </c>
      <c r="U2" s="61"/>
    </row>
    <row r="3" spans="1:27" s="73" customFormat="1" ht="31.5" customHeight="1" thickBot="1">
      <c r="A3" s="25" t="s">
        <v>6</v>
      </c>
      <c r="B3" s="26" t="s">
        <v>37</v>
      </c>
      <c r="C3" s="468" t="s">
        <v>280</v>
      </c>
      <c r="D3" s="1388" t="s">
        <v>5</v>
      </c>
      <c r="E3" s="1389"/>
      <c r="F3" s="1389"/>
      <c r="G3" s="1389"/>
      <c r="H3" s="1389"/>
      <c r="I3" s="1389"/>
      <c r="J3" s="1390"/>
      <c r="K3" s="1391"/>
      <c r="L3" s="1392" t="s">
        <v>281</v>
      </c>
      <c r="M3" s="1393"/>
      <c r="N3" s="1393"/>
      <c r="O3" s="1393"/>
      <c r="P3" s="1393"/>
      <c r="Q3" s="1393"/>
      <c r="R3" s="1394"/>
      <c r="S3" s="1395"/>
      <c r="T3" s="1392" t="s">
        <v>28</v>
      </c>
      <c r="U3" s="1393"/>
      <c r="V3" s="1393"/>
      <c r="W3" s="1393"/>
      <c r="X3" s="1393"/>
      <c r="Y3" s="1393"/>
      <c r="Z3" s="1394"/>
      <c r="AA3" s="1395"/>
    </row>
    <row r="4" spans="1:27" s="73" customFormat="1" ht="31.5" customHeight="1">
      <c r="A4" s="323"/>
      <c r="B4" s="324"/>
      <c r="C4" s="551"/>
      <c r="D4" s="790" t="s">
        <v>69</v>
      </c>
      <c r="E4" s="791" t="s">
        <v>237</v>
      </c>
      <c r="F4" s="791" t="s">
        <v>240</v>
      </c>
      <c r="G4" s="792" t="s">
        <v>243</v>
      </c>
      <c r="H4" s="792" t="s">
        <v>259</v>
      </c>
      <c r="I4" s="792" t="s">
        <v>264</v>
      </c>
      <c r="J4" s="1041" t="s">
        <v>246</v>
      </c>
      <c r="K4" s="793" t="s">
        <v>247</v>
      </c>
      <c r="L4" s="790" t="s">
        <v>69</v>
      </c>
      <c r="M4" s="791" t="s">
        <v>237</v>
      </c>
      <c r="N4" s="791" t="s">
        <v>240</v>
      </c>
      <c r="O4" s="792" t="s">
        <v>243</v>
      </c>
      <c r="P4" s="792" t="s">
        <v>259</v>
      </c>
      <c r="Q4" s="792" t="s">
        <v>264</v>
      </c>
      <c r="R4" s="1041" t="s">
        <v>246</v>
      </c>
      <c r="S4" s="793" t="s">
        <v>247</v>
      </c>
      <c r="T4" s="790" t="s">
        <v>69</v>
      </c>
      <c r="U4" s="791" t="s">
        <v>237</v>
      </c>
      <c r="V4" s="791" t="s">
        <v>240</v>
      </c>
      <c r="W4" s="792" t="s">
        <v>243</v>
      </c>
      <c r="X4" s="792" t="s">
        <v>259</v>
      </c>
      <c r="Y4" s="792" t="s">
        <v>264</v>
      </c>
      <c r="Z4" s="1041" t="s">
        <v>246</v>
      </c>
      <c r="AA4" s="793" t="s">
        <v>247</v>
      </c>
    </row>
    <row r="5" spans="1:27" ht="29.25" customHeight="1">
      <c r="A5" s="60">
        <v>1</v>
      </c>
      <c r="B5" s="85" t="s">
        <v>515</v>
      </c>
      <c r="C5" s="552" t="s">
        <v>214</v>
      </c>
      <c r="D5" s="559">
        <v>50000</v>
      </c>
      <c r="E5" s="980">
        <v>50000</v>
      </c>
      <c r="F5" s="980">
        <v>50000</v>
      </c>
      <c r="G5" s="980">
        <v>50000</v>
      </c>
      <c r="H5" s="980">
        <v>50000</v>
      </c>
      <c r="I5" s="980">
        <v>41288</v>
      </c>
      <c r="J5" s="980">
        <v>41288</v>
      </c>
      <c r="K5" s="564">
        <f>J5/I5</f>
        <v>1</v>
      </c>
      <c r="L5" s="559">
        <v>0</v>
      </c>
      <c r="M5" s="980">
        <v>0</v>
      </c>
      <c r="N5" s="980">
        <v>0</v>
      </c>
      <c r="O5" s="980">
        <v>0</v>
      </c>
      <c r="P5" s="980">
        <v>0</v>
      </c>
      <c r="Q5" s="980">
        <v>0</v>
      </c>
      <c r="R5" s="980">
        <v>0</v>
      </c>
      <c r="S5" s="564"/>
      <c r="T5" s="559">
        <v>50000</v>
      </c>
      <c r="U5" s="980">
        <v>50000</v>
      </c>
      <c r="V5" s="980">
        <v>50000</v>
      </c>
      <c r="W5" s="980">
        <v>50000</v>
      </c>
      <c r="X5" s="980">
        <v>50000</v>
      </c>
      <c r="Y5" s="980">
        <v>41288</v>
      </c>
      <c r="Z5" s="980">
        <v>41288</v>
      </c>
      <c r="AA5" s="564">
        <f>Z5/Y5</f>
        <v>1</v>
      </c>
    </row>
    <row r="6" spans="1:27" ht="29.25" customHeight="1">
      <c r="A6" s="60">
        <v>2</v>
      </c>
      <c r="B6" s="85" t="s">
        <v>545</v>
      </c>
      <c r="C6" s="552" t="s">
        <v>214</v>
      </c>
      <c r="D6" s="560"/>
      <c r="E6" s="979"/>
      <c r="F6" s="979">
        <v>720000</v>
      </c>
      <c r="G6" s="979">
        <v>720000</v>
      </c>
      <c r="H6" s="979">
        <v>720000</v>
      </c>
      <c r="I6" s="979">
        <v>720000</v>
      </c>
      <c r="J6" s="979">
        <v>720000</v>
      </c>
      <c r="K6" s="564">
        <f>J6/I6</f>
        <v>1</v>
      </c>
      <c r="L6" s="565"/>
      <c r="M6" s="977"/>
      <c r="N6" s="977">
        <v>0</v>
      </c>
      <c r="O6" s="977">
        <v>0</v>
      </c>
      <c r="P6" s="977">
        <v>0</v>
      </c>
      <c r="Q6" s="977">
        <v>0</v>
      </c>
      <c r="R6" s="977">
        <v>0</v>
      </c>
      <c r="S6" s="564"/>
      <c r="T6" s="565"/>
      <c r="U6" s="977"/>
      <c r="V6" s="977">
        <v>720000</v>
      </c>
      <c r="W6" s="977">
        <v>720000</v>
      </c>
      <c r="X6" s="977">
        <v>720000</v>
      </c>
      <c r="Y6" s="977">
        <v>720000</v>
      </c>
      <c r="Z6" s="977">
        <v>720000</v>
      </c>
      <c r="AA6" s="564">
        <f>Z6/Y6</f>
        <v>1</v>
      </c>
    </row>
    <row r="7" spans="1:27" ht="29.25" customHeight="1">
      <c r="A7" s="60">
        <v>3</v>
      </c>
      <c r="B7" s="982" t="s">
        <v>546</v>
      </c>
      <c r="C7" s="553" t="s">
        <v>214</v>
      </c>
      <c r="D7" s="561"/>
      <c r="E7" s="981"/>
      <c r="F7" s="981">
        <v>889000</v>
      </c>
      <c r="G7" s="981">
        <f>889000+2274803+614197</f>
        <v>3778000</v>
      </c>
      <c r="H7" s="981">
        <f>889000+2274803+614197</f>
        <v>3778000</v>
      </c>
      <c r="I7" s="981">
        <f>889000+2274803+614197+3403600</f>
        <v>7181600</v>
      </c>
      <c r="J7" s="981">
        <f>889000+2274803+614197+3403600</f>
        <v>7181600</v>
      </c>
      <c r="K7" s="564">
        <f aca="true" t="shared" si="0" ref="K7:K15">J7/I7</f>
        <v>1</v>
      </c>
      <c r="L7" s="566"/>
      <c r="M7" s="796"/>
      <c r="N7" s="796">
        <v>889000</v>
      </c>
      <c r="O7" s="796">
        <v>3778000</v>
      </c>
      <c r="P7" s="796">
        <v>3778000</v>
      </c>
      <c r="Q7" s="796">
        <v>7181600</v>
      </c>
      <c r="R7" s="796">
        <v>7181600</v>
      </c>
      <c r="S7" s="564">
        <f>R7/Q7</f>
        <v>1</v>
      </c>
      <c r="T7" s="566"/>
      <c r="U7" s="796"/>
      <c r="V7" s="796">
        <v>0</v>
      </c>
      <c r="W7" s="796">
        <v>0</v>
      </c>
      <c r="X7" s="796">
        <v>0</v>
      </c>
      <c r="Y7" s="796">
        <v>0</v>
      </c>
      <c r="Z7" s="796">
        <v>0</v>
      </c>
      <c r="AA7" s="564"/>
    </row>
    <row r="8" spans="1:27" ht="29.25" customHeight="1">
      <c r="A8" s="60">
        <v>4</v>
      </c>
      <c r="B8" s="85" t="s">
        <v>547</v>
      </c>
      <c r="C8" s="553" t="s">
        <v>214</v>
      </c>
      <c r="D8" s="562"/>
      <c r="E8" s="74"/>
      <c r="F8" s="74">
        <f>258260+69730</f>
        <v>327990</v>
      </c>
      <c r="G8" s="74">
        <f>258260+69730</f>
        <v>327990</v>
      </c>
      <c r="H8" s="74">
        <f>258260+69730</f>
        <v>327990</v>
      </c>
      <c r="I8" s="74">
        <f>258260+69730</f>
        <v>327990</v>
      </c>
      <c r="J8" s="74">
        <f>258260+69730</f>
        <v>327990</v>
      </c>
      <c r="K8" s="564">
        <f t="shared" si="0"/>
        <v>1</v>
      </c>
      <c r="L8" s="566"/>
      <c r="M8" s="796"/>
      <c r="N8" s="796">
        <v>0</v>
      </c>
      <c r="O8" s="796">
        <v>0</v>
      </c>
      <c r="P8" s="796">
        <v>0</v>
      </c>
      <c r="Q8" s="796">
        <v>0</v>
      </c>
      <c r="R8" s="796">
        <v>0</v>
      </c>
      <c r="S8" s="564"/>
      <c r="T8" s="566"/>
      <c r="U8" s="796"/>
      <c r="V8" s="796">
        <v>327990</v>
      </c>
      <c r="W8" s="796">
        <v>327990</v>
      </c>
      <c r="X8" s="796">
        <v>327990</v>
      </c>
      <c r="Y8" s="74">
        <v>327990</v>
      </c>
      <c r="Z8" s="74">
        <v>327990</v>
      </c>
      <c r="AA8" s="564">
        <f>Z8/Y8</f>
        <v>1</v>
      </c>
    </row>
    <row r="9" spans="1:27" ht="29.25" customHeight="1">
      <c r="A9" s="60">
        <v>5</v>
      </c>
      <c r="B9" s="921" t="s">
        <v>548</v>
      </c>
      <c r="C9" s="553" t="s">
        <v>214</v>
      </c>
      <c r="D9" s="562"/>
      <c r="E9" s="74"/>
      <c r="F9" s="74">
        <f>109370+29530</f>
        <v>138900</v>
      </c>
      <c r="G9" s="74">
        <f>109370+29530</f>
        <v>138900</v>
      </c>
      <c r="H9" s="74">
        <f>109370+29530</f>
        <v>138900</v>
      </c>
      <c r="I9" s="74">
        <f>109370+29530</f>
        <v>138900</v>
      </c>
      <c r="J9" s="74">
        <f>109370+29530</f>
        <v>138900</v>
      </c>
      <c r="K9" s="564">
        <f t="shared" si="0"/>
        <v>1</v>
      </c>
      <c r="L9" s="566"/>
      <c r="M9" s="796"/>
      <c r="N9" s="796">
        <v>0</v>
      </c>
      <c r="O9" s="796">
        <v>0</v>
      </c>
      <c r="P9" s="796">
        <v>0</v>
      </c>
      <c r="Q9" s="796">
        <v>0</v>
      </c>
      <c r="R9" s="796">
        <v>0</v>
      </c>
      <c r="S9" s="564"/>
      <c r="T9" s="566"/>
      <c r="U9" s="796"/>
      <c r="V9" s="796">
        <v>138900</v>
      </c>
      <c r="W9" s="796">
        <v>138900</v>
      </c>
      <c r="X9" s="796">
        <v>138900</v>
      </c>
      <c r="Y9" s="74">
        <v>138900</v>
      </c>
      <c r="Z9" s="74">
        <v>138900</v>
      </c>
      <c r="AA9" s="564">
        <f aca="true" t="shared" si="1" ref="AA9:AA14">Z9/Y9</f>
        <v>1</v>
      </c>
    </row>
    <row r="10" spans="1:27" ht="29.25" customHeight="1">
      <c r="A10" s="60">
        <v>6</v>
      </c>
      <c r="B10" s="921" t="s">
        <v>549</v>
      </c>
      <c r="C10" s="553" t="s">
        <v>214</v>
      </c>
      <c r="D10" s="562"/>
      <c r="E10" s="74"/>
      <c r="F10" s="74">
        <f>78740+21260</f>
        <v>100000</v>
      </c>
      <c r="G10" s="74">
        <f>78740+21260</f>
        <v>100000</v>
      </c>
      <c r="H10" s="74">
        <f>78740+21260</f>
        <v>100000</v>
      </c>
      <c r="I10" s="74">
        <f>78740+21260</f>
        <v>100000</v>
      </c>
      <c r="J10" s="74">
        <f>78740+21260</f>
        <v>100000</v>
      </c>
      <c r="K10" s="564">
        <f t="shared" si="0"/>
        <v>1</v>
      </c>
      <c r="L10" s="566"/>
      <c r="M10" s="796"/>
      <c r="N10" s="796">
        <v>100000</v>
      </c>
      <c r="O10" s="796">
        <v>100000</v>
      </c>
      <c r="P10" s="796">
        <v>100000</v>
      </c>
      <c r="Q10" s="796">
        <v>100000</v>
      </c>
      <c r="R10" s="796">
        <v>100000</v>
      </c>
      <c r="S10" s="564">
        <f>R10/Q10</f>
        <v>1</v>
      </c>
      <c r="T10" s="566"/>
      <c r="U10" s="796"/>
      <c r="V10" s="796">
        <v>0</v>
      </c>
      <c r="W10" s="796">
        <v>0</v>
      </c>
      <c r="X10" s="796">
        <v>0</v>
      </c>
      <c r="Y10" s="796">
        <v>0</v>
      </c>
      <c r="Z10" s="796">
        <v>0</v>
      </c>
      <c r="AA10" s="564"/>
    </row>
    <row r="11" spans="1:27" ht="29.25" customHeight="1">
      <c r="A11" s="60">
        <v>7</v>
      </c>
      <c r="B11" s="85" t="s">
        <v>550</v>
      </c>
      <c r="C11" s="553" t="s">
        <v>214</v>
      </c>
      <c r="D11" s="562"/>
      <c r="E11" s="74"/>
      <c r="F11" s="74">
        <f>79000+21330</f>
        <v>100330</v>
      </c>
      <c r="G11" s="74">
        <f>79000+21330</f>
        <v>100330</v>
      </c>
      <c r="H11" s="74">
        <f>79000+21330</f>
        <v>100330</v>
      </c>
      <c r="I11" s="74">
        <f>79000+21330</f>
        <v>100330</v>
      </c>
      <c r="J11" s="74">
        <f>79000+21330</f>
        <v>100330</v>
      </c>
      <c r="K11" s="564">
        <f t="shared" si="0"/>
        <v>1</v>
      </c>
      <c r="L11" s="566"/>
      <c r="M11" s="796"/>
      <c r="N11" s="796">
        <v>0</v>
      </c>
      <c r="O11" s="796">
        <v>0</v>
      </c>
      <c r="P11" s="796">
        <v>0</v>
      </c>
      <c r="Q11" s="796">
        <v>0</v>
      </c>
      <c r="R11" s="796">
        <v>0</v>
      </c>
      <c r="S11" s="564"/>
      <c r="T11" s="566"/>
      <c r="U11" s="796"/>
      <c r="V11" s="796">
        <v>100330</v>
      </c>
      <c r="W11" s="796">
        <v>100330</v>
      </c>
      <c r="X11" s="796">
        <v>100330</v>
      </c>
      <c r="Y11" s="796">
        <v>100330</v>
      </c>
      <c r="Z11" s="796">
        <v>100330</v>
      </c>
      <c r="AA11" s="564">
        <f t="shared" si="1"/>
        <v>1</v>
      </c>
    </row>
    <row r="12" spans="1:27" ht="29.25" customHeight="1">
      <c r="A12" s="60">
        <v>8</v>
      </c>
      <c r="B12" s="88" t="s">
        <v>569</v>
      </c>
      <c r="C12" s="553" t="s">
        <v>214</v>
      </c>
      <c r="D12" s="562"/>
      <c r="E12" s="74"/>
      <c r="F12" s="74"/>
      <c r="G12" s="74">
        <f>24000+6480</f>
        <v>30480</v>
      </c>
      <c r="H12" s="74">
        <f>24000+6480</f>
        <v>30480</v>
      </c>
      <c r="I12" s="74">
        <f>24000+6480</f>
        <v>30480</v>
      </c>
      <c r="J12" s="74">
        <f>24000+6480</f>
        <v>30480</v>
      </c>
      <c r="K12" s="564">
        <f t="shared" si="0"/>
        <v>1</v>
      </c>
      <c r="L12" s="566"/>
      <c r="M12" s="796"/>
      <c r="N12" s="796"/>
      <c r="O12" s="796"/>
      <c r="P12" s="796"/>
      <c r="Q12" s="796">
        <v>0</v>
      </c>
      <c r="R12" s="796">
        <v>0</v>
      </c>
      <c r="S12" s="564"/>
      <c r="T12" s="566"/>
      <c r="U12" s="796"/>
      <c r="V12" s="796"/>
      <c r="W12" s="74">
        <f>24000+6480</f>
        <v>30480</v>
      </c>
      <c r="X12" s="74">
        <f>24000+6480</f>
        <v>30480</v>
      </c>
      <c r="Y12" s="796">
        <v>30480</v>
      </c>
      <c r="Z12" s="796">
        <v>30480</v>
      </c>
      <c r="AA12" s="564">
        <f t="shared" si="1"/>
        <v>1</v>
      </c>
    </row>
    <row r="13" spans="1:27" ht="29.25" customHeight="1">
      <c r="A13" s="60">
        <v>9</v>
      </c>
      <c r="B13" s="85" t="s">
        <v>570</v>
      </c>
      <c r="C13" s="553" t="s">
        <v>214</v>
      </c>
      <c r="D13" s="562"/>
      <c r="E13" s="74"/>
      <c r="F13" s="74"/>
      <c r="G13" s="74">
        <v>9950</v>
      </c>
      <c r="H13" s="74">
        <v>9950</v>
      </c>
      <c r="I13" s="74">
        <v>9950</v>
      </c>
      <c r="J13" s="74">
        <v>9950</v>
      </c>
      <c r="K13" s="564">
        <f t="shared" si="0"/>
        <v>1</v>
      </c>
      <c r="L13" s="566"/>
      <c r="M13" s="796"/>
      <c r="N13" s="796"/>
      <c r="O13" s="796"/>
      <c r="P13" s="796"/>
      <c r="Q13" s="796">
        <v>0</v>
      </c>
      <c r="R13" s="796">
        <v>0</v>
      </c>
      <c r="S13" s="564"/>
      <c r="T13" s="566"/>
      <c r="U13" s="796"/>
      <c r="V13" s="796"/>
      <c r="W13" s="74">
        <v>9950</v>
      </c>
      <c r="X13" s="74">
        <v>9950</v>
      </c>
      <c r="Y13" s="796">
        <v>9950</v>
      </c>
      <c r="Z13" s="796">
        <v>9950</v>
      </c>
      <c r="AA13" s="564">
        <f t="shared" si="1"/>
        <v>1</v>
      </c>
    </row>
    <row r="14" spans="1:27" ht="29.25" customHeight="1">
      <c r="A14" s="60">
        <v>10</v>
      </c>
      <c r="B14" s="87" t="s">
        <v>582</v>
      </c>
      <c r="C14" s="553" t="s">
        <v>214</v>
      </c>
      <c r="D14" s="562"/>
      <c r="E14" s="74"/>
      <c r="F14" s="74"/>
      <c r="G14" s="74"/>
      <c r="H14" s="74">
        <v>350520</v>
      </c>
      <c r="I14" s="74">
        <v>350520</v>
      </c>
      <c r="J14" s="74">
        <v>350520</v>
      </c>
      <c r="K14" s="564">
        <f t="shared" si="0"/>
        <v>1</v>
      </c>
      <c r="L14" s="566"/>
      <c r="M14" s="796"/>
      <c r="N14" s="796"/>
      <c r="O14" s="796"/>
      <c r="P14" s="796"/>
      <c r="Q14" s="796">
        <v>0</v>
      </c>
      <c r="R14" s="796">
        <v>0</v>
      </c>
      <c r="S14" s="564"/>
      <c r="T14" s="566"/>
      <c r="U14" s="796"/>
      <c r="V14" s="796"/>
      <c r="W14" s="796"/>
      <c r="X14" s="74">
        <v>350520</v>
      </c>
      <c r="Y14" s="796">
        <v>350520</v>
      </c>
      <c r="Z14" s="796">
        <v>350520</v>
      </c>
      <c r="AA14" s="564">
        <f t="shared" si="1"/>
        <v>1</v>
      </c>
    </row>
    <row r="15" spans="1:27" ht="29.25" customHeight="1" thickBot="1">
      <c r="A15" s="60">
        <v>11</v>
      </c>
      <c r="B15" s="87" t="s">
        <v>588</v>
      </c>
      <c r="C15" s="553"/>
      <c r="D15" s="562"/>
      <c r="E15" s="74"/>
      <c r="F15" s="74"/>
      <c r="G15" s="74"/>
      <c r="H15" s="74"/>
      <c r="I15" s="74">
        <v>66300</v>
      </c>
      <c r="J15" s="74">
        <v>66300</v>
      </c>
      <c r="K15" s="564">
        <f t="shared" si="0"/>
        <v>1</v>
      </c>
      <c r="L15" s="566"/>
      <c r="M15" s="796"/>
      <c r="N15" s="796"/>
      <c r="O15" s="796"/>
      <c r="P15" s="796"/>
      <c r="Q15" s="796">
        <v>66300</v>
      </c>
      <c r="R15" s="796">
        <v>66300</v>
      </c>
      <c r="S15" s="564">
        <f>R15/Q15</f>
        <v>1</v>
      </c>
      <c r="T15" s="566"/>
      <c r="U15" s="796"/>
      <c r="V15" s="796"/>
      <c r="W15" s="796"/>
      <c r="X15" s="796"/>
      <c r="Y15" s="796">
        <v>0</v>
      </c>
      <c r="Z15" s="796">
        <v>0</v>
      </c>
      <c r="AA15" s="564"/>
    </row>
    <row r="16" spans="1:27" ht="31.5" customHeight="1" thickBot="1">
      <c r="A16" s="1396" t="s">
        <v>1</v>
      </c>
      <c r="B16" s="1399"/>
      <c r="C16" s="554"/>
      <c r="D16" s="563">
        <f>SUM(D5:D11)</f>
        <v>50000</v>
      </c>
      <c r="E16" s="794">
        <f>SUM(E5:E11)</f>
        <v>50000</v>
      </c>
      <c r="F16" s="794">
        <f>SUM(F5:F11)</f>
        <v>2326220</v>
      </c>
      <c r="G16" s="794">
        <f>SUM(G5:G15)</f>
        <v>5255650</v>
      </c>
      <c r="H16" s="794">
        <f>SUM(H5:H15)</f>
        <v>5606170</v>
      </c>
      <c r="I16" s="794">
        <f>SUM(I5:I15)</f>
        <v>9067358</v>
      </c>
      <c r="J16" s="794">
        <f>SUM(J5:J15)</f>
        <v>9067358</v>
      </c>
      <c r="K16" s="795">
        <f>J16/I16</f>
        <v>1</v>
      </c>
      <c r="L16" s="563">
        <f aca="true" t="shared" si="2" ref="L16:Q16">SUM(L5:L15)</f>
        <v>0</v>
      </c>
      <c r="M16" s="794">
        <f t="shared" si="2"/>
        <v>0</v>
      </c>
      <c r="N16" s="794">
        <f t="shared" si="2"/>
        <v>989000</v>
      </c>
      <c r="O16" s="794">
        <f t="shared" si="2"/>
        <v>3878000</v>
      </c>
      <c r="P16" s="794">
        <f t="shared" si="2"/>
        <v>3878000</v>
      </c>
      <c r="Q16" s="794">
        <f t="shared" si="2"/>
        <v>7347900</v>
      </c>
      <c r="R16" s="794">
        <f>SUM(R5:R15)</f>
        <v>7347900</v>
      </c>
      <c r="S16" s="795">
        <f>R16/Q16</f>
        <v>1</v>
      </c>
      <c r="T16" s="563">
        <f aca="true" t="shared" si="3" ref="T16:Y16">SUM(T5:T15)</f>
        <v>50000</v>
      </c>
      <c r="U16" s="794">
        <f t="shared" si="3"/>
        <v>50000</v>
      </c>
      <c r="V16" s="794">
        <f t="shared" si="3"/>
        <v>1337220</v>
      </c>
      <c r="W16" s="794">
        <f t="shared" si="3"/>
        <v>1377650</v>
      </c>
      <c r="X16" s="794">
        <f>SUM(X5:X15)</f>
        <v>1728170</v>
      </c>
      <c r="Y16" s="794">
        <f t="shared" si="3"/>
        <v>1719458</v>
      </c>
      <c r="Z16" s="794">
        <f>SUM(Z5:Z15)</f>
        <v>1719458</v>
      </c>
      <c r="AA16" s="795">
        <f>Z16/Y16</f>
        <v>1</v>
      </c>
    </row>
    <row r="17" spans="1:26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V17" s="77"/>
      <c r="Y17" s="77"/>
      <c r="Z17" s="77"/>
    </row>
    <row r="18" spans="1:20" ht="14.25">
      <c r="A18" s="1398" t="s">
        <v>64</v>
      </c>
      <c r="B18" s="1398"/>
      <c r="C18" s="1398"/>
      <c r="D18" s="1398"/>
      <c r="E18" s="1398"/>
      <c r="F18" s="1398"/>
      <c r="G18" s="1398"/>
      <c r="H18" s="1398"/>
      <c r="I18" s="1398"/>
      <c r="J18" s="1398"/>
      <c r="K18" s="1398"/>
      <c r="L18" s="1398"/>
      <c r="M18" s="1398"/>
      <c r="N18" s="1398"/>
      <c r="O18" s="1398"/>
      <c r="P18" s="1398"/>
      <c r="Q18" s="1398"/>
      <c r="R18" s="1398"/>
      <c r="S18" s="1398"/>
      <c r="T18" s="1398"/>
    </row>
    <row r="19" spans="1:20" ht="13.5" thickBot="1">
      <c r="A19" s="75"/>
      <c r="B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7" ht="29.25" customHeight="1" thickBot="1">
      <c r="A20" s="25" t="s">
        <v>6</v>
      </c>
      <c r="B20" s="26" t="s">
        <v>33</v>
      </c>
      <c r="C20" s="468" t="s">
        <v>280</v>
      </c>
      <c r="D20" s="1388" t="s">
        <v>5</v>
      </c>
      <c r="E20" s="1389"/>
      <c r="F20" s="1389"/>
      <c r="G20" s="1389"/>
      <c r="H20" s="1389"/>
      <c r="I20" s="1389"/>
      <c r="J20" s="1390"/>
      <c r="K20" s="1391"/>
      <c r="L20" s="1392" t="s">
        <v>281</v>
      </c>
      <c r="M20" s="1393"/>
      <c r="N20" s="1393"/>
      <c r="O20" s="1393"/>
      <c r="P20" s="1393"/>
      <c r="Q20" s="1393"/>
      <c r="R20" s="1394"/>
      <c r="S20" s="1395"/>
      <c r="T20" s="1392" t="s">
        <v>28</v>
      </c>
      <c r="U20" s="1393"/>
      <c r="V20" s="1393"/>
      <c r="W20" s="1393"/>
      <c r="X20" s="1393"/>
      <c r="Y20" s="1393"/>
      <c r="Z20" s="1394"/>
      <c r="AA20" s="1395"/>
    </row>
    <row r="21" spans="1:27" ht="28.5" customHeight="1" thickBot="1">
      <c r="A21" s="325"/>
      <c r="B21" s="326"/>
      <c r="C21" s="555"/>
      <c r="D21" s="790" t="s">
        <v>69</v>
      </c>
      <c r="E21" s="791" t="s">
        <v>237</v>
      </c>
      <c r="F21" s="791" t="s">
        <v>240</v>
      </c>
      <c r="G21" s="792" t="s">
        <v>243</v>
      </c>
      <c r="H21" s="792" t="s">
        <v>259</v>
      </c>
      <c r="I21" s="792" t="s">
        <v>264</v>
      </c>
      <c r="J21" s="1041" t="s">
        <v>246</v>
      </c>
      <c r="K21" s="793" t="s">
        <v>247</v>
      </c>
      <c r="L21" s="790" t="s">
        <v>69</v>
      </c>
      <c r="M21" s="791" t="s">
        <v>237</v>
      </c>
      <c r="N21" s="791" t="s">
        <v>240</v>
      </c>
      <c r="O21" s="792" t="s">
        <v>243</v>
      </c>
      <c r="P21" s="792" t="s">
        <v>259</v>
      </c>
      <c r="Q21" s="792" t="s">
        <v>264</v>
      </c>
      <c r="R21" s="792" t="s">
        <v>246</v>
      </c>
      <c r="S21" s="793" t="s">
        <v>247</v>
      </c>
      <c r="T21" s="790" t="s">
        <v>69</v>
      </c>
      <c r="U21" s="791" t="s">
        <v>237</v>
      </c>
      <c r="V21" s="791" t="s">
        <v>240</v>
      </c>
      <c r="W21" s="792" t="s">
        <v>243</v>
      </c>
      <c r="X21" s="792" t="s">
        <v>259</v>
      </c>
      <c r="Y21" s="792" t="s">
        <v>264</v>
      </c>
      <c r="Z21" s="1041" t="s">
        <v>246</v>
      </c>
      <c r="AA21" s="793" t="s">
        <v>247</v>
      </c>
    </row>
    <row r="22" spans="1:27" ht="29.25" customHeight="1">
      <c r="A22" s="76">
        <v>1</v>
      </c>
      <c r="B22" s="89" t="s">
        <v>516</v>
      </c>
      <c r="C22" s="556" t="s">
        <v>214</v>
      </c>
      <c r="D22" s="567">
        <v>10000000</v>
      </c>
      <c r="E22" s="798">
        <v>10000000</v>
      </c>
      <c r="F22" s="798">
        <v>10000000</v>
      </c>
      <c r="G22" s="798">
        <v>10000000</v>
      </c>
      <c r="H22" s="798">
        <v>10000000</v>
      </c>
      <c r="I22" s="798">
        <v>10000000</v>
      </c>
      <c r="J22" s="798">
        <f>3864466+75600+280000</f>
        <v>4220066</v>
      </c>
      <c r="K22" s="564">
        <f aca="true" t="shared" si="4" ref="K22:K30">J22/I22</f>
        <v>0.4220066</v>
      </c>
      <c r="L22" s="570">
        <v>0</v>
      </c>
      <c r="M22" s="975">
        <v>0</v>
      </c>
      <c r="N22" s="975">
        <v>0</v>
      </c>
      <c r="O22" s="975">
        <v>0</v>
      </c>
      <c r="P22" s="975">
        <v>0</v>
      </c>
      <c r="Q22" s="975">
        <v>0</v>
      </c>
      <c r="R22" s="975"/>
      <c r="S22" s="564"/>
      <c r="T22" s="570">
        <v>10000000</v>
      </c>
      <c r="U22" s="975">
        <v>10000000</v>
      </c>
      <c r="V22" s="798">
        <v>10000000</v>
      </c>
      <c r="W22" s="798">
        <v>10000000</v>
      </c>
      <c r="X22" s="798">
        <v>10000000</v>
      </c>
      <c r="Y22" s="798">
        <v>10000000</v>
      </c>
      <c r="Z22" s="798">
        <f>3864466+75600+280000</f>
        <v>4220066</v>
      </c>
      <c r="AA22" s="564">
        <f aca="true" t="shared" si="5" ref="AA22:AA30">Z22/Y22</f>
        <v>0.4220066</v>
      </c>
    </row>
    <row r="23" spans="1:27" ht="29.25" customHeight="1">
      <c r="A23" s="59">
        <v>2</v>
      </c>
      <c r="B23" s="90" t="s">
        <v>517</v>
      </c>
      <c r="C23" s="557" t="s">
        <v>214</v>
      </c>
      <c r="D23" s="568">
        <v>12000000</v>
      </c>
      <c r="E23" s="978">
        <v>12000000</v>
      </c>
      <c r="F23" s="978">
        <f>12000000-2831354-764465</f>
        <v>8404181</v>
      </c>
      <c r="G23" s="978">
        <f>12000000-2831354-764465</f>
        <v>8404181</v>
      </c>
      <c r="H23" s="978">
        <f>12000000-2831354-764465</f>
        <v>8404181</v>
      </c>
      <c r="I23" s="978">
        <f>12000000-2831354-764465</f>
        <v>8404181</v>
      </c>
      <c r="J23" s="978">
        <f>12000000-2831354-764465</f>
        <v>8404181</v>
      </c>
      <c r="K23" s="564">
        <f t="shared" si="4"/>
        <v>1</v>
      </c>
      <c r="L23" s="571">
        <v>0</v>
      </c>
      <c r="M23" s="976">
        <v>0</v>
      </c>
      <c r="N23" s="976">
        <v>0</v>
      </c>
      <c r="O23" s="976">
        <v>0</v>
      </c>
      <c r="P23" s="976">
        <v>0</v>
      </c>
      <c r="Q23" s="976">
        <v>0</v>
      </c>
      <c r="R23" s="976"/>
      <c r="S23" s="564"/>
      <c r="T23" s="568">
        <v>12000000</v>
      </c>
      <c r="U23" s="978">
        <v>12000000</v>
      </c>
      <c r="V23" s="978">
        <f>12000000-2831354-764465</f>
        <v>8404181</v>
      </c>
      <c r="W23" s="978">
        <f>12000000-2831354-764465</f>
        <v>8404181</v>
      </c>
      <c r="X23" s="978">
        <f>12000000-2831354-764465</f>
        <v>8404181</v>
      </c>
      <c r="Y23" s="978">
        <f>12000000-2831354-764465</f>
        <v>8404181</v>
      </c>
      <c r="Z23" s="978">
        <f>12000000-2831354-764465</f>
        <v>8404181</v>
      </c>
      <c r="AA23" s="564">
        <f t="shared" si="5"/>
        <v>1</v>
      </c>
    </row>
    <row r="24" spans="1:27" ht="29.25" customHeight="1">
      <c r="A24" s="59">
        <v>3</v>
      </c>
      <c r="B24" s="86" t="s">
        <v>518</v>
      </c>
      <c r="C24" s="553" t="s">
        <v>214</v>
      </c>
      <c r="D24" s="562">
        <v>7000000</v>
      </c>
      <c r="E24" s="74">
        <v>7000000</v>
      </c>
      <c r="F24" s="74">
        <v>7000000</v>
      </c>
      <c r="G24" s="74">
        <v>7000000</v>
      </c>
      <c r="H24" s="74">
        <v>7000000</v>
      </c>
      <c r="I24" s="74">
        <f>7000000-2519318</f>
        <v>4480682</v>
      </c>
      <c r="J24" s="74"/>
      <c r="K24" s="564">
        <f t="shared" si="4"/>
        <v>0</v>
      </c>
      <c r="L24" s="566">
        <v>0</v>
      </c>
      <c r="M24" s="796">
        <v>0</v>
      </c>
      <c r="N24" s="796">
        <v>0</v>
      </c>
      <c r="O24" s="796">
        <v>0</v>
      </c>
      <c r="P24" s="796">
        <v>0</v>
      </c>
      <c r="Q24" s="796">
        <v>0</v>
      </c>
      <c r="R24" s="796"/>
      <c r="S24" s="564"/>
      <c r="T24" s="562">
        <v>7000000</v>
      </c>
      <c r="U24" s="74">
        <v>7000000</v>
      </c>
      <c r="V24" s="74">
        <v>7000000</v>
      </c>
      <c r="W24" s="74">
        <v>7000000</v>
      </c>
      <c r="X24" s="74">
        <v>7000000</v>
      </c>
      <c r="Y24" s="74">
        <f>7000000-2519318</f>
        <v>4480682</v>
      </c>
      <c r="Z24" s="74"/>
      <c r="AA24" s="564">
        <f t="shared" si="5"/>
        <v>0</v>
      </c>
    </row>
    <row r="25" spans="1:27" ht="29.25" customHeight="1">
      <c r="A25" s="59">
        <v>4</v>
      </c>
      <c r="B25" s="85" t="s">
        <v>1127</v>
      </c>
      <c r="C25" s="552" t="s">
        <v>214</v>
      </c>
      <c r="D25" s="560"/>
      <c r="E25" s="979"/>
      <c r="F25" s="979"/>
      <c r="G25" s="979">
        <v>1524000</v>
      </c>
      <c r="H25" s="979">
        <v>1524000</v>
      </c>
      <c r="I25" s="979">
        <v>1524000</v>
      </c>
      <c r="J25" s="979">
        <v>1524000</v>
      </c>
      <c r="K25" s="564">
        <f t="shared" si="4"/>
        <v>1</v>
      </c>
      <c r="L25" s="566"/>
      <c r="M25" s="796"/>
      <c r="N25" s="796"/>
      <c r="O25" s="796"/>
      <c r="P25" s="796"/>
      <c r="Q25" s="796"/>
      <c r="R25" s="1046"/>
      <c r="S25" s="564"/>
      <c r="T25" s="566"/>
      <c r="U25" s="796"/>
      <c r="V25" s="979"/>
      <c r="W25" s="979">
        <v>1524000</v>
      </c>
      <c r="X25" s="979">
        <v>1524000</v>
      </c>
      <c r="Y25" s="979">
        <v>1524000</v>
      </c>
      <c r="Z25" s="979">
        <v>1524000</v>
      </c>
      <c r="AA25" s="564">
        <f t="shared" si="5"/>
        <v>1</v>
      </c>
    </row>
    <row r="26" spans="1:27" ht="29.25" customHeight="1">
      <c r="A26" s="59">
        <v>5</v>
      </c>
      <c r="B26" s="85" t="s">
        <v>568</v>
      </c>
      <c r="C26" s="552" t="s">
        <v>214</v>
      </c>
      <c r="D26" s="560"/>
      <c r="E26" s="979"/>
      <c r="F26" s="979"/>
      <c r="G26" s="979">
        <v>459143</v>
      </c>
      <c r="H26" s="979">
        <v>459143</v>
      </c>
      <c r="I26" s="979">
        <v>459143</v>
      </c>
      <c r="J26" s="979">
        <v>459143</v>
      </c>
      <c r="K26" s="564">
        <f t="shared" si="4"/>
        <v>1</v>
      </c>
      <c r="L26" s="566"/>
      <c r="M26" s="796"/>
      <c r="N26" s="796"/>
      <c r="O26" s="796"/>
      <c r="P26" s="796"/>
      <c r="Q26" s="796"/>
      <c r="R26" s="1046"/>
      <c r="S26" s="564"/>
      <c r="T26" s="566"/>
      <c r="U26" s="796"/>
      <c r="V26" s="979"/>
      <c r="W26" s="979">
        <v>459143</v>
      </c>
      <c r="X26" s="979">
        <v>459143</v>
      </c>
      <c r="Y26" s="979">
        <v>459143</v>
      </c>
      <c r="Z26" s="979">
        <v>459143</v>
      </c>
      <c r="AA26" s="564">
        <f t="shared" si="5"/>
        <v>1</v>
      </c>
    </row>
    <row r="27" spans="1:27" ht="29.25" customHeight="1">
      <c r="A27" s="59">
        <v>6</v>
      </c>
      <c r="B27" s="85" t="s">
        <v>583</v>
      </c>
      <c r="C27" s="558" t="s">
        <v>214</v>
      </c>
      <c r="D27" s="560"/>
      <c r="E27" s="979"/>
      <c r="F27" s="979"/>
      <c r="G27" s="979"/>
      <c r="H27" s="979">
        <v>347668</v>
      </c>
      <c r="I27" s="979">
        <v>347668</v>
      </c>
      <c r="J27" s="979">
        <v>347668</v>
      </c>
      <c r="K27" s="564">
        <f t="shared" si="4"/>
        <v>1</v>
      </c>
      <c r="L27" s="565"/>
      <c r="M27" s="977"/>
      <c r="N27" s="977"/>
      <c r="O27" s="977"/>
      <c r="P27" s="977"/>
      <c r="Q27" s="977"/>
      <c r="R27" s="1045"/>
      <c r="S27" s="564"/>
      <c r="T27" s="565"/>
      <c r="U27" s="977"/>
      <c r="V27" s="979"/>
      <c r="W27" s="979"/>
      <c r="X27" s="979">
        <v>347668</v>
      </c>
      <c r="Y27" s="979">
        <v>347668</v>
      </c>
      <c r="Z27" s="979">
        <v>347668</v>
      </c>
      <c r="AA27" s="564">
        <f t="shared" si="5"/>
        <v>1</v>
      </c>
    </row>
    <row r="28" spans="1:27" ht="29.25" customHeight="1">
      <c r="A28" s="59">
        <v>7</v>
      </c>
      <c r="B28" s="85" t="s">
        <v>1126</v>
      </c>
      <c r="C28" s="558" t="s">
        <v>214</v>
      </c>
      <c r="D28" s="560"/>
      <c r="E28" s="979"/>
      <c r="F28" s="979"/>
      <c r="G28" s="979"/>
      <c r="H28" s="979"/>
      <c r="I28" s="979">
        <v>333724</v>
      </c>
      <c r="J28" s="979">
        <v>333724</v>
      </c>
      <c r="K28" s="564">
        <f t="shared" si="4"/>
        <v>1</v>
      </c>
      <c r="L28" s="565"/>
      <c r="M28" s="977"/>
      <c r="N28" s="977"/>
      <c r="O28" s="977"/>
      <c r="P28" s="977"/>
      <c r="Q28" s="977"/>
      <c r="R28" s="1045"/>
      <c r="S28" s="564"/>
      <c r="T28" s="565"/>
      <c r="U28" s="977"/>
      <c r="V28" s="979"/>
      <c r="W28" s="979"/>
      <c r="X28" s="979"/>
      <c r="Y28" s="979">
        <v>333724</v>
      </c>
      <c r="Z28" s="979">
        <v>333724</v>
      </c>
      <c r="AA28" s="564">
        <f t="shared" si="5"/>
        <v>1</v>
      </c>
    </row>
    <row r="29" spans="1:27" ht="29.25" customHeight="1">
      <c r="A29" s="59">
        <v>8</v>
      </c>
      <c r="B29" s="85" t="s">
        <v>1125</v>
      </c>
      <c r="C29" s="558" t="s">
        <v>214</v>
      </c>
      <c r="D29" s="560"/>
      <c r="E29" s="979"/>
      <c r="F29" s="979"/>
      <c r="G29" s="979"/>
      <c r="H29" s="979"/>
      <c r="I29" s="979">
        <v>1270000</v>
      </c>
      <c r="J29" s="979">
        <v>1270000</v>
      </c>
      <c r="K29" s="564">
        <f t="shared" si="4"/>
        <v>1</v>
      </c>
      <c r="L29" s="565"/>
      <c r="M29" s="977"/>
      <c r="N29" s="977"/>
      <c r="O29" s="977"/>
      <c r="P29" s="978"/>
      <c r="Q29" s="978"/>
      <c r="R29" s="1043"/>
      <c r="S29" s="564"/>
      <c r="T29" s="565"/>
      <c r="U29" s="977"/>
      <c r="V29" s="979"/>
      <c r="W29" s="979"/>
      <c r="X29" s="979"/>
      <c r="Y29" s="979">
        <v>1270000</v>
      </c>
      <c r="Z29" s="979">
        <v>1270000</v>
      </c>
      <c r="AA29" s="564">
        <f t="shared" si="5"/>
        <v>1</v>
      </c>
    </row>
    <row r="30" spans="1:27" ht="29.25" customHeight="1" thickBot="1">
      <c r="A30" s="59">
        <v>9</v>
      </c>
      <c r="B30" s="85" t="s">
        <v>1124</v>
      </c>
      <c r="C30" s="558"/>
      <c r="D30" s="560"/>
      <c r="E30" s="979"/>
      <c r="F30" s="979"/>
      <c r="G30" s="979"/>
      <c r="H30" s="979"/>
      <c r="I30" s="979">
        <v>915594</v>
      </c>
      <c r="J30" s="979">
        <v>915594</v>
      </c>
      <c r="K30" s="564">
        <f t="shared" si="4"/>
        <v>1</v>
      </c>
      <c r="L30" s="565"/>
      <c r="M30" s="977"/>
      <c r="N30" s="977"/>
      <c r="O30" s="977"/>
      <c r="P30" s="979"/>
      <c r="Q30" s="979"/>
      <c r="R30" s="1042"/>
      <c r="S30" s="564"/>
      <c r="T30" s="565"/>
      <c r="U30" s="977"/>
      <c r="V30" s="979"/>
      <c r="W30" s="979"/>
      <c r="X30" s="979"/>
      <c r="Y30" s="979">
        <v>915594</v>
      </c>
      <c r="Z30" s="979">
        <v>915594</v>
      </c>
      <c r="AA30" s="564">
        <f t="shared" si="5"/>
        <v>1</v>
      </c>
    </row>
    <row r="31" spans="1:27" ht="29.25" customHeight="1" hidden="1" thickBot="1">
      <c r="A31" s="59">
        <v>10</v>
      </c>
      <c r="B31" s="91"/>
      <c r="C31" s="552"/>
      <c r="D31" s="560"/>
      <c r="E31" s="979"/>
      <c r="F31" s="979"/>
      <c r="G31" s="979"/>
      <c r="H31" s="979"/>
      <c r="I31" s="979"/>
      <c r="J31" s="979"/>
      <c r="K31" s="564"/>
      <c r="L31" s="565"/>
      <c r="M31" s="977"/>
      <c r="N31" s="977"/>
      <c r="O31" s="977"/>
      <c r="P31" s="979"/>
      <c r="Q31" s="979"/>
      <c r="R31" s="1042"/>
      <c r="S31" s="564" t="e">
        <f>O31/M31</f>
        <v>#DIV/0!</v>
      </c>
      <c r="T31" s="565"/>
      <c r="U31" s="977"/>
      <c r="V31" s="979"/>
      <c r="W31" s="979"/>
      <c r="X31" s="979"/>
      <c r="Y31" s="979"/>
      <c r="Z31" s="979"/>
      <c r="AA31" s="564" t="e">
        <f>W31/U31</f>
        <v>#DIV/0!</v>
      </c>
    </row>
    <row r="32" spans="1:27" ht="29.25" customHeight="1" thickBot="1">
      <c r="A32" s="1396" t="s">
        <v>1</v>
      </c>
      <c r="B32" s="1397"/>
      <c r="C32" s="554"/>
      <c r="D32" s="569">
        <f aca="true" t="shared" si="6" ref="D32:I32">SUM(D22:D31)</f>
        <v>29000000</v>
      </c>
      <c r="E32" s="797">
        <f t="shared" si="6"/>
        <v>29000000</v>
      </c>
      <c r="F32" s="797">
        <f t="shared" si="6"/>
        <v>25404181</v>
      </c>
      <c r="G32" s="797">
        <f t="shared" si="6"/>
        <v>27387324</v>
      </c>
      <c r="H32" s="797">
        <f t="shared" si="6"/>
        <v>27734992</v>
      </c>
      <c r="I32" s="797">
        <f t="shared" si="6"/>
        <v>27734992</v>
      </c>
      <c r="J32" s="794">
        <f>SUM(J22:J31)</f>
        <v>17474376</v>
      </c>
      <c r="K32" s="795">
        <f>J32/I32</f>
        <v>0.6300479913605167</v>
      </c>
      <c r="L32" s="569">
        <f aca="true" t="shared" si="7" ref="L32:Q32">SUM(L22:L31)</f>
        <v>0</v>
      </c>
      <c r="M32" s="797">
        <f t="shared" si="7"/>
        <v>0</v>
      </c>
      <c r="N32" s="797">
        <f t="shared" si="7"/>
        <v>0</v>
      </c>
      <c r="O32" s="797">
        <f t="shared" si="7"/>
        <v>0</v>
      </c>
      <c r="P32" s="797">
        <f t="shared" si="7"/>
        <v>0</v>
      </c>
      <c r="Q32" s="797">
        <f t="shared" si="7"/>
        <v>0</v>
      </c>
      <c r="R32" s="1044"/>
      <c r="S32" s="795"/>
      <c r="T32" s="569">
        <f aca="true" t="shared" si="8" ref="T32:Y32">SUM(T22:T31)</f>
        <v>29000000</v>
      </c>
      <c r="U32" s="797">
        <f t="shared" si="8"/>
        <v>29000000</v>
      </c>
      <c r="V32" s="797">
        <f t="shared" si="8"/>
        <v>25404181</v>
      </c>
      <c r="W32" s="797">
        <f t="shared" si="8"/>
        <v>27387324</v>
      </c>
      <c r="X32" s="797">
        <f t="shared" si="8"/>
        <v>27734992</v>
      </c>
      <c r="Y32" s="797">
        <f t="shared" si="8"/>
        <v>27734992</v>
      </c>
      <c r="Z32" s="797">
        <f>SUM(Z22:Z31)</f>
        <v>17474376</v>
      </c>
      <c r="AA32" s="795">
        <f>Z32/Y32</f>
        <v>0.6300479913605167</v>
      </c>
    </row>
    <row r="34" spans="12:20" ht="12.75">
      <c r="L34" s="77"/>
      <c r="M34" s="77"/>
      <c r="N34" s="77"/>
      <c r="O34" s="77"/>
      <c r="P34" s="77"/>
      <c r="Q34" s="77"/>
      <c r="R34" s="77"/>
      <c r="S34" s="77"/>
      <c r="T34" s="77"/>
    </row>
  </sheetData>
  <sheetProtection/>
  <mergeCells count="10">
    <mergeCell ref="D20:K20"/>
    <mergeCell ref="L20:S20"/>
    <mergeCell ref="T20:AA20"/>
    <mergeCell ref="A32:B32"/>
    <mergeCell ref="A1:T1"/>
    <mergeCell ref="D3:K3"/>
    <mergeCell ref="L3:S3"/>
    <mergeCell ref="T3:AA3"/>
    <mergeCell ref="A16:B16"/>
    <mergeCell ref="A18:T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52" r:id="rId1"/>
  <headerFooter alignWithMargins="0">
    <oddHeader>&amp;CÖNKORMÁNYZATI BERUHÁZÁSOK ÉS FELÚJÍTÁSOK
2016.
&amp;R&amp;"Arial CE,Félkövér dőlt"6/a számú melléklet&amp;"Arial CE,Normál"
</oddHeader>
  </headerFooter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N20" sqref="N20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5" width="14.57421875" style="9" customWidth="1"/>
    <col min="6" max="6" width="14.57421875" style="9" hidden="1" customWidth="1"/>
    <col min="7" max="7" width="12.8515625" style="9" hidden="1" customWidth="1"/>
    <col min="8" max="8" width="13.57421875" style="9" hidden="1" customWidth="1"/>
    <col min="9" max="9" width="12.57421875" style="9" hidden="1" customWidth="1"/>
    <col min="10" max="10" width="13.8515625" style="9" customWidth="1"/>
    <col min="11" max="11" width="12.7109375" style="9" customWidth="1"/>
    <col min="12" max="12" width="13.421875" style="9" customWidth="1"/>
    <col min="13" max="16384" width="9.140625" style="9" customWidth="1"/>
  </cols>
  <sheetData>
    <row r="1" spans="2:6" ht="12.75">
      <c r="B1" s="44"/>
      <c r="D1" s="1402" t="s">
        <v>1117</v>
      </c>
      <c r="E1" s="1402"/>
      <c r="F1" s="12"/>
    </row>
    <row r="2" ht="12.75">
      <c r="B2" s="44"/>
    </row>
    <row r="3" spans="1:6" ht="18">
      <c r="A3" s="1403" t="s">
        <v>60</v>
      </c>
      <c r="B3" s="1403"/>
      <c r="C3" s="1403"/>
      <c r="D3" s="1403"/>
      <c r="E3" s="1403"/>
      <c r="F3" s="17"/>
    </row>
    <row r="4" spans="1:6" ht="18">
      <c r="A4" s="1403" t="s">
        <v>17</v>
      </c>
      <c r="B4" s="1403"/>
      <c r="C4" s="1403"/>
      <c r="D4" s="1403"/>
      <c r="E4" s="1403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404" t="s">
        <v>521</v>
      </c>
      <c r="B6" s="1404"/>
      <c r="C6" s="1404"/>
      <c r="D6" s="1404"/>
      <c r="E6" s="1404"/>
      <c r="F6" s="10"/>
    </row>
    <row r="7" spans="1:8" ht="16.5" thickBot="1">
      <c r="A7" s="11"/>
      <c r="B7" s="45"/>
      <c r="C7" s="34"/>
      <c r="D7" s="10"/>
      <c r="E7" s="635"/>
      <c r="F7" s="24"/>
      <c r="G7" s="24" t="s">
        <v>505</v>
      </c>
      <c r="H7" s="24"/>
    </row>
    <row r="8" spans="1:12" ht="45.75" customHeight="1" thickBot="1">
      <c r="A8" s="21" t="s">
        <v>20</v>
      </c>
      <c r="B8" s="35" t="s">
        <v>18</v>
      </c>
      <c r="C8" s="35" t="s">
        <v>19</v>
      </c>
      <c r="D8" s="799" t="s">
        <v>32</v>
      </c>
      <c r="E8" s="805" t="s">
        <v>212</v>
      </c>
      <c r="F8" s="35" t="s">
        <v>237</v>
      </c>
      <c r="G8" s="35" t="s">
        <v>240</v>
      </c>
      <c r="H8" s="35" t="s">
        <v>243</v>
      </c>
      <c r="I8" s="35" t="s">
        <v>259</v>
      </c>
      <c r="J8" s="35" t="s">
        <v>264</v>
      </c>
      <c r="K8" s="35" t="s">
        <v>246</v>
      </c>
      <c r="L8" s="35" t="s">
        <v>247</v>
      </c>
    </row>
    <row r="9" spans="1:12" s="16" customFormat="1" ht="30" customHeight="1" thickBot="1">
      <c r="A9" s="29">
        <v>1</v>
      </c>
      <c r="B9" s="36" t="s">
        <v>353</v>
      </c>
      <c r="C9" s="36" t="s">
        <v>354</v>
      </c>
      <c r="D9" s="800" t="s">
        <v>15</v>
      </c>
      <c r="E9" s="806">
        <v>889000</v>
      </c>
      <c r="F9" s="806">
        <v>889000</v>
      </c>
      <c r="G9" s="806">
        <f>889000-419000</f>
        <v>470000</v>
      </c>
      <c r="H9" s="806">
        <f>889000-419000</f>
        <v>470000</v>
      </c>
      <c r="I9" s="806">
        <f>889000-419000</f>
        <v>470000</v>
      </c>
      <c r="J9" s="806">
        <v>186391</v>
      </c>
      <c r="K9" s="806">
        <v>186391</v>
      </c>
      <c r="L9" s="1047">
        <f>K9/J9</f>
        <v>1</v>
      </c>
    </row>
    <row r="10" spans="1:12" s="16" customFormat="1" ht="30" customHeight="1" thickBot="1">
      <c r="A10" s="922">
        <v>2</v>
      </c>
      <c r="B10" s="36" t="s">
        <v>353</v>
      </c>
      <c r="C10" s="923" t="s">
        <v>586</v>
      </c>
      <c r="D10" s="924" t="s">
        <v>15</v>
      </c>
      <c r="E10" s="925"/>
      <c r="F10" s="925"/>
      <c r="G10" s="925"/>
      <c r="H10" s="925"/>
      <c r="I10" s="925"/>
      <c r="J10" s="925">
        <f>19290+10100+5208+2727</f>
        <v>37325</v>
      </c>
      <c r="K10" s="925">
        <f>19290+10100+5208+2727</f>
        <v>37325</v>
      </c>
      <c r="L10" s="1048">
        <f aca="true" t="shared" si="0" ref="L10:L20">K10/J10</f>
        <v>1</v>
      </c>
    </row>
    <row r="11" spans="1:12" s="16" customFormat="1" ht="30" customHeight="1">
      <c r="A11" s="922">
        <v>3</v>
      </c>
      <c r="B11" s="36" t="s">
        <v>353</v>
      </c>
      <c r="C11" s="923" t="s">
        <v>551</v>
      </c>
      <c r="D11" s="924" t="s">
        <v>15</v>
      </c>
      <c r="E11" s="925">
        <v>0</v>
      </c>
      <c r="F11" s="925">
        <v>0</v>
      </c>
      <c r="G11" s="925">
        <v>419000</v>
      </c>
      <c r="H11" s="925">
        <v>419000</v>
      </c>
      <c r="I11" s="925">
        <v>419000</v>
      </c>
      <c r="J11" s="925">
        <f>113130+419000</f>
        <v>532130</v>
      </c>
      <c r="K11" s="925">
        <f>113130+419000</f>
        <v>532130</v>
      </c>
      <c r="L11" s="1048">
        <f t="shared" si="0"/>
        <v>1</v>
      </c>
    </row>
    <row r="12" spans="1:14" ht="30" customHeight="1">
      <c r="A12" s="39">
        <v>4</v>
      </c>
      <c r="B12" s="46" t="s">
        <v>221</v>
      </c>
      <c r="C12" s="40" t="s">
        <v>519</v>
      </c>
      <c r="D12" s="801" t="s">
        <v>15</v>
      </c>
      <c r="E12" s="807">
        <v>1118000</v>
      </c>
      <c r="F12" s="807">
        <v>1118000</v>
      </c>
      <c r="G12" s="807">
        <v>1118000</v>
      </c>
      <c r="H12" s="807">
        <v>1118000</v>
      </c>
      <c r="I12" s="807">
        <v>1118000</v>
      </c>
      <c r="J12" s="807">
        <v>1197000</v>
      </c>
      <c r="K12" s="807">
        <v>1197000</v>
      </c>
      <c r="L12" s="1049">
        <f t="shared" si="0"/>
        <v>1</v>
      </c>
      <c r="N12" s="655"/>
    </row>
    <row r="13" spans="1:12" ht="30" customHeight="1">
      <c r="A13" s="39">
        <v>5</v>
      </c>
      <c r="B13" s="46" t="s">
        <v>221</v>
      </c>
      <c r="C13" s="634" t="s">
        <v>520</v>
      </c>
      <c r="D13" s="801" t="s">
        <v>15</v>
      </c>
      <c r="E13" s="807">
        <v>152000</v>
      </c>
      <c r="F13" s="807">
        <v>152000</v>
      </c>
      <c r="G13" s="807">
        <v>152000</v>
      </c>
      <c r="H13" s="807">
        <v>152000</v>
      </c>
      <c r="I13" s="807">
        <v>152000</v>
      </c>
      <c r="J13" s="807">
        <v>75998</v>
      </c>
      <c r="K13" s="807">
        <v>75998</v>
      </c>
      <c r="L13" s="1049">
        <f t="shared" si="0"/>
        <v>1</v>
      </c>
    </row>
    <row r="14" spans="1:12" ht="30" customHeight="1" hidden="1">
      <c r="A14" s="41">
        <v>4</v>
      </c>
      <c r="B14" s="46" t="s">
        <v>221</v>
      </c>
      <c r="C14" s="66" t="s">
        <v>463</v>
      </c>
      <c r="D14" s="802" t="s">
        <v>15</v>
      </c>
      <c r="E14" s="808"/>
      <c r="F14" s="808"/>
      <c r="G14" s="808"/>
      <c r="H14" s="808"/>
      <c r="I14" s="808"/>
      <c r="J14" s="808"/>
      <c r="K14" s="808"/>
      <c r="L14" s="1050" t="e">
        <f t="shared" si="0"/>
        <v>#DIV/0!</v>
      </c>
    </row>
    <row r="15" spans="1:12" ht="30" customHeight="1">
      <c r="A15" s="39">
        <v>6</v>
      </c>
      <c r="B15" s="46" t="s">
        <v>221</v>
      </c>
      <c r="C15" s="66" t="s">
        <v>571</v>
      </c>
      <c r="D15" s="802" t="s">
        <v>15</v>
      </c>
      <c r="E15" s="808">
        <v>70000</v>
      </c>
      <c r="F15" s="808">
        <v>70000</v>
      </c>
      <c r="G15" s="808">
        <v>70000</v>
      </c>
      <c r="H15" s="808">
        <v>70000</v>
      </c>
      <c r="I15" s="808">
        <v>70000</v>
      </c>
      <c r="J15" s="808">
        <v>0</v>
      </c>
      <c r="K15" s="808">
        <v>0</v>
      </c>
      <c r="L15" s="1050"/>
    </row>
    <row r="16" spans="1:12" ht="30" customHeight="1" hidden="1">
      <c r="A16" s="41">
        <v>6</v>
      </c>
      <c r="B16" s="46" t="s">
        <v>221</v>
      </c>
      <c r="C16" s="66" t="s">
        <v>464</v>
      </c>
      <c r="D16" s="803" t="s">
        <v>15</v>
      </c>
      <c r="E16" s="809"/>
      <c r="F16" s="809"/>
      <c r="G16" s="809"/>
      <c r="H16" s="809"/>
      <c r="I16" s="809"/>
      <c r="J16" s="809"/>
      <c r="K16" s="809"/>
      <c r="L16" s="1051"/>
    </row>
    <row r="17" spans="1:12" ht="36.75" customHeight="1">
      <c r="A17" s="39">
        <v>7</v>
      </c>
      <c r="B17" s="46" t="s">
        <v>221</v>
      </c>
      <c r="C17" s="66" t="s">
        <v>465</v>
      </c>
      <c r="D17" s="803" t="s">
        <v>15</v>
      </c>
      <c r="E17" s="809">
        <v>127000</v>
      </c>
      <c r="F17" s="809">
        <v>127000</v>
      </c>
      <c r="G17" s="809">
        <v>127000</v>
      </c>
      <c r="H17" s="809">
        <v>127000</v>
      </c>
      <c r="I17" s="809">
        <v>127000</v>
      </c>
      <c r="J17" s="809">
        <v>0</v>
      </c>
      <c r="K17" s="809">
        <v>0</v>
      </c>
      <c r="L17" s="1051"/>
    </row>
    <row r="18" spans="1:12" ht="71.25" customHeight="1" thickBot="1">
      <c r="A18" s="67">
        <v>8</v>
      </c>
      <c r="B18" s="46" t="s">
        <v>221</v>
      </c>
      <c r="C18" s="66" t="s">
        <v>584</v>
      </c>
      <c r="D18" s="803" t="s">
        <v>15</v>
      </c>
      <c r="E18" s="809"/>
      <c r="F18" s="809"/>
      <c r="G18" s="809"/>
      <c r="H18" s="809">
        <v>40000</v>
      </c>
      <c r="I18" s="809">
        <v>40000</v>
      </c>
      <c r="J18" s="809">
        <v>39800</v>
      </c>
      <c r="K18" s="809">
        <v>39800</v>
      </c>
      <c r="L18" s="1051">
        <f t="shared" si="0"/>
        <v>1</v>
      </c>
    </row>
    <row r="19" spans="1:12" ht="36.75" customHeight="1" hidden="1" thickBot="1">
      <c r="A19" s="67"/>
      <c r="B19" s="66"/>
      <c r="C19" s="66"/>
      <c r="D19" s="803" t="s">
        <v>16</v>
      </c>
      <c r="E19" s="809"/>
      <c r="F19" s="809"/>
      <c r="G19" s="809"/>
      <c r="H19" s="809"/>
      <c r="I19" s="809"/>
      <c r="J19" s="809"/>
      <c r="K19" s="809"/>
      <c r="L19" s="1051" t="e">
        <f t="shared" si="0"/>
        <v>#DIV/0!</v>
      </c>
    </row>
    <row r="20" spans="1:12" s="38" customFormat="1" ht="30" customHeight="1" thickBot="1">
      <c r="A20" s="1400" t="s">
        <v>1</v>
      </c>
      <c r="B20" s="1401"/>
      <c r="C20" s="37"/>
      <c r="D20" s="804"/>
      <c r="E20" s="810">
        <f aca="true" t="shared" si="1" ref="E20:J20">SUM(E9:E19)</f>
        <v>2356000</v>
      </c>
      <c r="F20" s="810">
        <f t="shared" si="1"/>
        <v>2356000</v>
      </c>
      <c r="G20" s="810">
        <f t="shared" si="1"/>
        <v>2356000</v>
      </c>
      <c r="H20" s="810">
        <f t="shared" si="1"/>
        <v>2396000</v>
      </c>
      <c r="I20" s="810">
        <f t="shared" si="1"/>
        <v>2396000</v>
      </c>
      <c r="J20" s="810">
        <f t="shared" si="1"/>
        <v>2068644</v>
      </c>
      <c r="K20" s="810">
        <f>SUM(K9:K19)</f>
        <v>2068644</v>
      </c>
      <c r="L20" s="1052">
        <f t="shared" si="0"/>
        <v>1</v>
      </c>
    </row>
  </sheetData>
  <sheetProtection/>
  <mergeCells count="5">
    <mergeCell ref="A20:B20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Kápolnási Renáta</cp:lastModifiedBy>
  <cp:lastPrinted>2017-02-27T15:14:38Z</cp:lastPrinted>
  <dcterms:created xsi:type="dcterms:W3CDTF">2000-01-07T08:44:52Z</dcterms:created>
  <dcterms:modified xsi:type="dcterms:W3CDTF">2017-05-29T09:26:10Z</dcterms:modified>
  <cp:category/>
  <cp:version/>
  <cp:contentType/>
  <cp:contentStatus/>
</cp:coreProperties>
</file>